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3995" windowHeight="6420" activeTab="2"/>
  </bookViews>
  <sheets>
    <sheet name="PART-OCC-UNIR" sheetId="3" r:id="rId1"/>
    <sheet name="TAEj" sheetId="2" r:id="rId2"/>
    <sheet name="PART-OCC-NÚCLEOS-PVH" sheetId="1" r:id="rId3"/>
    <sheet name="QUADRO SÍNTESE" sheetId="4" r:id="rId4"/>
    <sheet name="Gráf3" sheetId="9" r:id="rId5"/>
    <sheet name="Gráf4" sheetId="10" r:id="rId6"/>
    <sheet name="Gráf5" sheetId="11" r:id="rId7"/>
    <sheet name="Gráf6" sheetId="12" r:id="rId8"/>
    <sheet name="Q. SÍNTESE COM FATOR DE COR." sheetId="5" r:id="rId9"/>
  </sheets>
  <externalReferences>
    <externalReference r:id="rId10"/>
  </externalReferences>
  <definedNames>
    <definedName name="_xlnm.Print_Area" localSheetId="3">'QUADRO SÍNTESE'!$A$1:$AB$96</definedName>
  </definedNames>
  <calcPr calcId="144525"/>
</workbook>
</file>

<file path=xl/calcChain.xml><?xml version="1.0" encoding="utf-8"?>
<calcChain xmlns="http://schemas.openxmlformats.org/spreadsheetml/2006/main">
  <c r="R4" i="4" l="1"/>
  <c r="R94" i="4"/>
  <c r="R92" i="4"/>
  <c r="R90" i="4"/>
  <c r="R88" i="4"/>
  <c r="R86" i="4"/>
  <c r="R80" i="4" l="1"/>
  <c r="N4" i="5"/>
  <c r="N6" i="5"/>
  <c r="N8" i="5"/>
  <c r="N10" i="5"/>
  <c r="N12" i="5"/>
  <c r="N14" i="5"/>
  <c r="N16" i="5"/>
  <c r="N18" i="5"/>
  <c r="C48" i="5"/>
  <c r="C47" i="5"/>
  <c r="U10" i="5" s="1"/>
  <c r="C45" i="5"/>
  <c r="U8" i="5" s="1"/>
  <c r="C43" i="5"/>
  <c r="U14" i="5" s="1"/>
  <c r="D50" i="5"/>
  <c r="C49" i="5" s="1"/>
  <c r="N36" i="5"/>
  <c r="N34" i="5"/>
  <c r="N32" i="5"/>
  <c r="N30" i="5"/>
  <c r="N28" i="5"/>
  <c r="N21" i="5"/>
  <c r="R18" i="4"/>
  <c r="R16" i="4"/>
  <c r="R14" i="4"/>
  <c r="R12" i="4"/>
  <c r="R10" i="4"/>
  <c r="R8" i="4"/>
  <c r="R6" i="4"/>
  <c r="R36" i="4"/>
  <c r="R34" i="4"/>
  <c r="R32" i="4"/>
  <c r="R30" i="4"/>
  <c r="R28" i="4"/>
  <c r="R21" i="4"/>
  <c r="X78" i="1"/>
  <c r="W78" i="1"/>
  <c r="V78" i="1"/>
  <c r="R78" i="1"/>
  <c r="X64" i="1"/>
  <c r="W64" i="1"/>
  <c r="V64" i="1"/>
  <c r="R64" i="1"/>
  <c r="X43" i="1"/>
  <c r="W43" i="1"/>
  <c r="V43" i="1"/>
  <c r="R43" i="1"/>
  <c r="R28" i="1"/>
  <c r="X28" i="1"/>
  <c r="V28" i="1"/>
  <c r="W28" i="1"/>
  <c r="X15" i="1"/>
  <c r="W15" i="1"/>
  <c r="V15" i="1"/>
  <c r="R15" i="1"/>
  <c r="Q111" i="1"/>
  <c r="Q110" i="1"/>
  <c r="X51" i="1" s="1"/>
  <c r="Q90" i="1"/>
  <c r="Q91" i="1"/>
  <c r="Q92" i="1"/>
  <c r="Q93" i="1"/>
  <c r="Q94" i="1"/>
  <c r="Q95" i="1"/>
  <c r="Q96" i="1"/>
  <c r="Q97" i="1"/>
  <c r="Q98" i="1"/>
  <c r="Q99" i="1"/>
  <c r="Q108" i="1" s="1"/>
  <c r="Q56" i="1"/>
  <c r="Q73" i="1"/>
  <c r="Q57" i="1"/>
  <c r="Q74" i="1"/>
  <c r="Q52" i="1"/>
  <c r="Q60" i="1"/>
  <c r="Q53" i="1"/>
  <c r="Q22" i="1"/>
  <c r="Q23" i="1"/>
  <c r="Q24" i="1"/>
  <c r="Q35" i="1"/>
  <c r="Q40" i="1" s="1"/>
  <c r="Q41" i="1" s="1"/>
  <c r="Q36" i="1"/>
  <c r="Q37" i="1"/>
  <c r="Q38" i="1"/>
  <c r="Q7" i="1"/>
  <c r="Q8" i="1"/>
  <c r="Q9" i="1"/>
  <c r="Q10" i="1"/>
  <c r="Q11" i="1"/>
  <c r="Q39" i="1"/>
  <c r="Q50" i="1"/>
  <c r="Q51" i="1"/>
  <c r="Q54" i="1"/>
  <c r="Q55" i="1"/>
  <c r="Q58" i="1"/>
  <c r="Q59" i="1"/>
  <c r="Q71" i="1"/>
  <c r="Q75" i="1" s="1"/>
  <c r="Q76" i="1" s="1"/>
  <c r="Q72" i="1"/>
  <c r="Q214" i="3"/>
  <c r="X154" i="3" s="1"/>
  <c r="X185" i="3"/>
  <c r="Q154" i="3"/>
  <c r="R154" i="3" s="1"/>
  <c r="Q155" i="3"/>
  <c r="Q156" i="3"/>
  <c r="R156" i="3" s="1"/>
  <c r="Q157" i="3"/>
  <c r="Q158" i="3"/>
  <c r="R158" i="3" s="1"/>
  <c r="Q160" i="3"/>
  <c r="Q161" i="3"/>
  <c r="R161" i="3" s="1"/>
  <c r="Q162" i="3"/>
  <c r="Q164" i="3"/>
  <c r="R164" i="3" s="1"/>
  <c r="Q165" i="3"/>
  <c r="Q166" i="3"/>
  <c r="R166" i="3" s="1"/>
  <c r="Q167" i="3"/>
  <c r="Q168" i="3"/>
  <c r="R168" i="3" s="1"/>
  <c r="Q170" i="3"/>
  <c r="Q171" i="3"/>
  <c r="R171" i="3" s="1"/>
  <c r="Q172" i="3"/>
  <c r="Q173" i="3"/>
  <c r="R173" i="3" s="1"/>
  <c r="Q174" i="3"/>
  <c r="Q175" i="3"/>
  <c r="R175" i="3" s="1"/>
  <c r="Q176" i="3"/>
  <c r="Q177" i="3"/>
  <c r="R177" i="3" s="1"/>
  <c r="Q178" i="3"/>
  <c r="Q179" i="3"/>
  <c r="R179" i="3" s="1"/>
  <c r="Q180" i="3"/>
  <c r="Q182" i="3"/>
  <c r="R182" i="3" s="1"/>
  <c r="Q183" i="3"/>
  <c r="Q184" i="3"/>
  <c r="R184" i="3" s="1"/>
  <c r="Q185" i="3"/>
  <c r="Q186" i="3"/>
  <c r="Q187" i="3" s="1"/>
  <c r="Q199" i="3"/>
  <c r="Q200" i="3"/>
  <c r="R200" i="3" s="1"/>
  <c r="Q201" i="3"/>
  <c r="Q202" i="3"/>
  <c r="R202" i="3" s="1"/>
  <c r="Q203" i="3"/>
  <c r="Q204" i="3"/>
  <c r="R204" i="3" s="1"/>
  <c r="Q205" i="3"/>
  <c r="Q206" i="3"/>
  <c r="R206" i="3" s="1"/>
  <c r="Q207" i="3"/>
  <c r="Q208" i="3"/>
  <c r="R189" i="3"/>
  <c r="V189" i="3"/>
  <c r="W189" i="3"/>
  <c r="X189" i="3"/>
  <c r="Q12" i="3"/>
  <c r="Q14" i="3"/>
  <c r="Q20" i="3" s="1"/>
  <c r="Q22" i="3" s="1"/>
  <c r="Q16" i="3"/>
  <c r="Q18" i="3"/>
  <c r="R22" i="3"/>
  <c r="V22" i="3"/>
  <c r="W22" i="3"/>
  <c r="X22" i="3"/>
  <c r="Q33" i="3"/>
  <c r="Q34" i="3"/>
  <c r="Q35" i="3"/>
  <c r="Q36" i="3"/>
  <c r="Q38" i="3" s="1"/>
  <c r="Q49" i="3"/>
  <c r="R40" i="3"/>
  <c r="V40" i="3"/>
  <c r="W40" i="3"/>
  <c r="X40" i="3"/>
  <c r="Q57" i="3"/>
  <c r="Q65" i="3" s="1"/>
  <c r="Q58" i="3"/>
  <c r="Q59" i="3"/>
  <c r="R59" i="3" s="1"/>
  <c r="Q60" i="3"/>
  <c r="Q61" i="3"/>
  <c r="R61" i="3" s="1"/>
  <c r="Q62" i="3"/>
  <c r="Q63" i="3"/>
  <c r="R63" i="3" s="1"/>
  <c r="R67" i="3"/>
  <c r="X67" i="3"/>
  <c r="Q78" i="3"/>
  <c r="Q79" i="3"/>
  <c r="Q83" i="3" s="1"/>
  <c r="Q80" i="3"/>
  <c r="Q81" i="3"/>
  <c r="Q82" i="3"/>
  <c r="Q84" i="3"/>
  <c r="Q86" i="3" s="1"/>
  <c r="R86" i="3"/>
  <c r="X86" i="3"/>
  <c r="Q98" i="3"/>
  <c r="Q107" i="3" s="1"/>
  <c r="Q109" i="3" s="1"/>
  <c r="Q99" i="3"/>
  <c r="Q100" i="3"/>
  <c r="R100" i="3" s="1"/>
  <c r="Q102" i="3"/>
  <c r="Q104" i="3"/>
  <c r="R104" i="3" s="1"/>
  <c r="R109" i="3"/>
  <c r="X109" i="3"/>
  <c r="Q122" i="3"/>
  <c r="Q123" i="3"/>
  <c r="Q125" i="3" s="1"/>
  <c r="R127" i="3"/>
  <c r="X127" i="3"/>
  <c r="Q137" i="3"/>
  <c r="Q139" i="3"/>
  <c r="Q141" i="3" s="1"/>
  <c r="R141" i="3"/>
  <c r="X141" i="3"/>
  <c r="Q215" i="3"/>
  <c r="W199" i="3" s="1"/>
  <c r="W204" i="3"/>
  <c r="W206" i="3"/>
  <c r="X12" i="3"/>
  <c r="X16" i="3"/>
  <c r="X34" i="3"/>
  <c r="X36" i="3"/>
  <c r="X57" i="3"/>
  <c r="X59" i="3"/>
  <c r="X61" i="3"/>
  <c r="X63" i="3"/>
  <c r="X78" i="3"/>
  <c r="X80" i="3"/>
  <c r="X82" i="3"/>
  <c r="X98" i="3"/>
  <c r="X100" i="3"/>
  <c r="X104" i="3"/>
  <c r="X122" i="3"/>
  <c r="Q212" i="3"/>
  <c r="B7" i="2" s="1"/>
  <c r="R155" i="3"/>
  <c r="R157" i="3"/>
  <c r="R160" i="3"/>
  <c r="R162" i="3"/>
  <c r="R165" i="3"/>
  <c r="R167" i="3"/>
  <c r="R170" i="3"/>
  <c r="R172" i="3"/>
  <c r="R174" i="3"/>
  <c r="R176" i="3"/>
  <c r="R178" i="3"/>
  <c r="R180" i="3"/>
  <c r="R183" i="3"/>
  <c r="R185" i="3"/>
  <c r="R137" i="3"/>
  <c r="R138" i="3"/>
  <c r="Q138" i="3"/>
  <c r="R207" i="3"/>
  <c r="R205" i="3"/>
  <c r="R203" i="3"/>
  <c r="R201" i="3"/>
  <c r="R199" i="3"/>
  <c r="Q124" i="3"/>
  <c r="R124" i="3" s="1"/>
  <c r="R123" i="3"/>
  <c r="R99" i="3"/>
  <c r="R102" i="3"/>
  <c r="R79" i="3"/>
  <c r="R81" i="3"/>
  <c r="R62" i="3"/>
  <c r="R60" i="3"/>
  <c r="R58" i="3"/>
  <c r="R49" i="3"/>
  <c r="R50" i="3" s="1"/>
  <c r="Q50" i="3"/>
  <c r="Q37" i="3"/>
  <c r="R34" i="3"/>
  <c r="Q67" i="3" l="1"/>
  <c r="Q40" i="3"/>
  <c r="Q189" i="3"/>
  <c r="R186" i="3"/>
  <c r="Q78" i="1"/>
  <c r="Q43" i="1"/>
  <c r="R37" i="3"/>
  <c r="R35" i="3"/>
  <c r="R33" i="3"/>
  <c r="R36" i="3"/>
  <c r="R122" i="3"/>
  <c r="Q127" i="3"/>
  <c r="W202" i="3"/>
  <c r="W200" i="3"/>
  <c r="Q209" i="3" s="1"/>
  <c r="X183" i="3"/>
  <c r="X180" i="3"/>
  <c r="X178" i="3"/>
  <c r="X176" i="3"/>
  <c r="X174" i="3"/>
  <c r="X172" i="3"/>
  <c r="X170" i="3"/>
  <c r="X167" i="3"/>
  <c r="X165" i="3"/>
  <c r="X162" i="3"/>
  <c r="X160" i="3"/>
  <c r="X157" i="3"/>
  <c r="X155" i="3"/>
  <c r="Q188" i="3" s="1"/>
  <c r="R14" i="3"/>
  <c r="Q19" i="3"/>
  <c r="R57" i="3"/>
  <c r="Q64" i="3"/>
  <c r="R64" i="3" s="1"/>
  <c r="R82" i="3"/>
  <c r="R80" i="3"/>
  <c r="R78" i="3"/>
  <c r="R83" i="3" s="1"/>
  <c r="Q106" i="3"/>
  <c r="R98" i="3"/>
  <c r="R106" i="3" s="1"/>
  <c r="Q211" i="3"/>
  <c r="X137" i="3"/>
  <c r="Q140" i="3" s="1"/>
  <c r="X123" i="3"/>
  <c r="Q126" i="3" s="1"/>
  <c r="X102" i="3"/>
  <c r="X99" i="3"/>
  <c r="Q108" i="3" s="1"/>
  <c r="X81" i="3"/>
  <c r="X79" i="3"/>
  <c r="Q85" i="3" s="1"/>
  <c r="X62" i="3"/>
  <c r="X60" i="3"/>
  <c r="X58" i="3"/>
  <c r="Q66" i="3" s="1"/>
  <c r="X49" i="3"/>
  <c r="Q51" i="3" s="1"/>
  <c r="X35" i="3"/>
  <c r="X33" i="3"/>
  <c r="Q39" i="3" s="1"/>
  <c r="X18" i="3"/>
  <c r="X14" i="3"/>
  <c r="Q21" i="3" s="1"/>
  <c r="W207" i="3"/>
  <c r="W205" i="3"/>
  <c r="W203" i="3"/>
  <c r="W201" i="3"/>
  <c r="X184" i="3"/>
  <c r="X182" i="3"/>
  <c r="X179" i="3"/>
  <c r="X177" i="3"/>
  <c r="X175" i="3"/>
  <c r="X173" i="3"/>
  <c r="X171" i="3"/>
  <c r="X168" i="3"/>
  <c r="X166" i="3"/>
  <c r="X164" i="3"/>
  <c r="X161" i="3"/>
  <c r="X158" i="3"/>
  <c r="X156" i="3"/>
  <c r="R72" i="1"/>
  <c r="R39" i="1"/>
  <c r="R38" i="1"/>
  <c r="R36" i="1"/>
  <c r="Q12" i="1"/>
  <c r="R98" i="1"/>
  <c r="R96" i="1"/>
  <c r="R94" i="1"/>
  <c r="R92" i="1"/>
  <c r="R90" i="1"/>
  <c r="W97" i="1"/>
  <c r="W95" i="1"/>
  <c r="W93" i="1"/>
  <c r="W91" i="1"/>
  <c r="W98" i="1"/>
  <c r="W96" i="1"/>
  <c r="W94" i="1"/>
  <c r="W92" i="1"/>
  <c r="W90" i="1"/>
  <c r="Q100" i="1" s="1"/>
  <c r="X7" i="1"/>
  <c r="X9" i="1"/>
  <c r="X11" i="1"/>
  <c r="X23" i="1"/>
  <c r="X35" i="1"/>
  <c r="X37" i="1"/>
  <c r="X39" i="1"/>
  <c r="R71" i="1"/>
  <c r="R37" i="1"/>
  <c r="R35" i="1"/>
  <c r="R23" i="1"/>
  <c r="R74" i="1"/>
  <c r="R73" i="1"/>
  <c r="R97" i="1"/>
  <c r="R95" i="1"/>
  <c r="R93" i="1"/>
  <c r="R91" i="1"/>
  <c r="Q25" i="1"/>
  <c r="Q26" i="1" s="1"/>
  <c r="Q61" i="1"/>
  <c r="Q62" i="1" s="1"/>
  <c r="X74" i="1"/>
  <c r="X72" i="1"/>
  <c r="X60" i="1"/>
  <c r="X58" i="1"/>
  <c r="X56" i="1"/>
  <c r="X54" i="1"/>
  <c r="X52" i="1"/>
  <c r="X73" i="1"/>
  <c r="X71" i="1"/>
  <c r="X59" i="1"/>
  <c r="X57" i="1"/>
  <c r="X55" i="1"/>
  <c r="X53" i="1"/>
  <c r="X8" i="1"/>
  <c r="X10" i="1"/>
  <c r="X22" i="1"/>
  <c r="Q27" i="1" s="1"/>
  <c r="X24" i="1"/>
  <c r="X36" i="1"/>
  <c r="X38" i="1"/>
  <c r="X50" i="1"/>
  <c r="Q63" i="1" s="1"/>
  <c r="U12" i="5"/>
  <c r="C42" i="5"/>
  <c r="C44" i="5"/>
  <c r="C46" i="5"/>
  <c r="U4" i="5"/>
  <c r="U6" i="5" l="1"/>
  <c r="Q64" i="1"/>
  <c r="R52" i="1"/>
  <c r="R54" i="1"/>
  <c r="R75" i="1"/>
  <c r="Q13" i="1"/>
  <c r="Q107" i="1"/>
  <c r="Q109" i="1" s="1"/>
  <c r="Q67" i="1" s="1"/>
  <c r="R57" i="1"/>
  <c r="R22" i="1"/>
  <c r="R55" i="1"/>
  <c r="N20" i="5"/>
  <c r="N22" i="5" s="1"/>
  <c r="R20" i="4"/>
  <c r="R22" i="4" s="1"/>
  <c r="S80" i="4" s="1"/>
  <c r="B5" i="2"/>
  <c r="B20" i="2" s="1"/>
  <c r="Q213" i="3"/>
  <c r="R16" i="3"/>
  <c r="R12" i="3"/>
  <c r="R10" i="1"/>
  <c r="R7" i="1"/>
  <c r="R11" i="1"/>
  <c r="U16" i="5"/>
  <c r="U18" i="5"/>
  <c r="Q77" i="1"/>
  <c r="R26" i="1"/>
  <c r="Q28" i="1"/>
  <c r="Q31" i="1"/>
  <c r="R60" i="1"/>
  <c r="R40" i="1"/>
  <c r="R50" i="1"/>
  <c r="R58" i="1"/>
  <c r="Q42" i="1"/>
  <c r="Q14" i="1"/>
  <c r="R99" i="1"/>
  <c r="R56" i="1"/>
  <c r="R53" i="1"/>
  <c r="R24" i="1"/>
  <c r="R51" i="1"/>
  <c r="R59" i="1"/>
  <c r="R8" i="1"/>
  <c r="Q128" i="3"/>
  <c r="Q129" i="3" s="1"/>
  <c r="R9" i="1"/>
  <c r="Q216" i="3"/>
  <c r="R18" i="3"/>
  <c r="Q41" i="3"/>
  <c r="Q42" i="3" s="1"/>
  <c r="O34" i="5" l="1"/>
  <c r="S34" i="4"/>
  <c r="S92" i="4" s="1"/>
  <c r="Q87" i="3"/>
  <c r="Q88" i="3" s="1"/>
  <c r="Q110" i="3"/>
  <c r="Q111" i="3" s="1"/>
  <c r="Q23" i="3"/>
  <c r="Q24" i="3" s="1"/>
  <c r="Q142" i="3"/>
  <c r="Q143" i="3" s="1"/>
  <c r="O30" i="5"/>
  <c r="S30" i="4"/>
  <c r="S88" i="4" s="1"/>
  <c r="Q190" i="3"/>
  <c r="Q191" i="3" s="1"/>
  <c r="R107" i="3"/>
  <c r="R84" i="3"/>
  <c r="R65" i="3"/>
  <c r="R20" i="3"/>
  <c r="R187" i="3"/>
  <c r="R125" i="3"/>
  <c r="R38" i="3"/>
  <c r="R208" i="3"/>
  <c r="R139" i="3"/>
  <c r="O18" i="5"/>
  <c r="O10" i="5"/>
  <c r="O16" i="5"/>
  <c r="O8" i="5"/>
  <c r="O6" i="5"/>
  <c r="O4" i="5"/>
  <c r="O14" i="5"/>
  <c r="O12" i="5"/>
  <c r="Q18" i="1"/>
  <c r="R13" i="1"/>
  <c r="Q15" i="1"/>
  <c r="R61" i="1"/>
  <c r="Q68" i="3"/>
  <c r="Q69" i="3" s="1"/>
  <c r="R12" i="1"/>
  <c r="R19" i="3"/>
  <c r="Q130" i="3"/>
  <c r="Q43" i="3"/>
  <c r="Q192" i="3"/>
  <c r="Q112" i="3"/>
  <c r="Q89" i="3"/>
  <c r="Q25" i="3"/>
  <c r="Q70" i="3"/>
  <c r="Q144" i="3"/>
  <c r="S18" i="4"/>
  <c r="R78" i="4" s="1"/>
  <c r="S16" i="4"/>
  <c r="R76" i="4" s="1"/>
  <c r="S12" i="4"/>
  <c r="R72" i="4" s="1"/>
  <c r="S8" i="4"/>
  <c r="R68" i="4" s="1"/>
  <c r="S4" i="4"/>
  <c r="R64" i="4" s="1"/>
  <c r="S14" i="4"/>
  <c r="R74" i="4" s="1"/>
  <c r="S10" i="4"/>
  <c r="R70" i="4" s="1"/>
  <c r="S6" i="4"/>
  <c r="R66" i="4" s="1"/>
  <c r="R25" i="1"/>
  <c r="R76" i="1"/>
  <c r="Q81" i="1"/>
  <c r="R41" i="1"/>
  <c r="Q46" i="1"/>
  <c r="R62" i="1"/>
  <c r="V70" i="4" l="1"/>
  <c r="X70" i="4"/>
  <c r="W70" i="4"/>
  <c r="W78" i="4"/>
  <c r="W95" i="4" s="1"/>
  <c r="X78" i="4"/>
  <c r="X95" i="4" s="1"/>
  <c r="V78" i="4"/>
  <c r="V95" i="4" s="1"/>
  <c r="V88" i="4"/>
  <c r="W88" i="4"/>
  <c r="X88" i="4"/>
  <c r="V92" i="4"/>
  <c r="W92" i="4"/>
  <c r="X92" i="4"/>
  <c r="X64" i="4"/>
  <c r="V64" i="4"/>
  <c r="W64" i="4"/>
  <c r="X72" i="4"/>
  <c r="V72" i="4"/>
  <c r="W72" i="4"/>
  <c r="V66" i="4"/>
  <c r="X66" i="4"/>
  <c r="W66" i="4"/>
  <c r="V74" i="4"/>
  <c r="X74" i="4"/>
  <c r="W74" i="4"/>
  <c r="X68" i="4"/>
  <c r="V68" i="4"/>
  <c r="W68" i="4"/>
  <c r="X76" i="4"/>
  <c r="V76" i="4"/>
  <c r="W76" i="4"/>
  <c r="F56" i="5"/>
  <c r="B56" i="5"/>
  <c r="D56" i="5"/>
  <c r="E56" i="5"/>
  <c r="Q217" i="3"/>
  <c r="Q26" i="3" s="1"/>
  <c r="Q90" i="3"/>
  <c r="S32" i="4"/>
  <c r="S90" i="4" s="1"/>
  <c r="O32" i="5"/>
  <c r="O36" i="5"/>
  <c r="S36" i="4"/>
  <c r="S94" i="4" s="1"/>
  <c r="Q91" i="3"/>
  <c r="Q112" i="1"/>
  <c r="Q16" i="1" s="1"/>
  <c r="Q17" i="1" s="1"/>
  <c r="O28" i="5"/>
  <c r="S28" i="4"/>
  <c r="S86" i="4" s="1"/>
  <c r="G56" i="5"/>
  <c r="C56" i="5"/>
  <c r="H56" i="5"/>
  <c r="I56" i="5"/>
  <c r="Q193" i="3"/>
  <c r="C63" i="5"/>
  <c r="Q145" i="3"/>
  <c r="Q113" i="3"/>
  <c r="E63" i="5"/>
  <c r="V86" i="4" l="1"/>
  <c r="W86" i="4"/>
  <c r="X86" i="4"/>
  <c r="W94" i="4"/>
  <c r="V94" i="4"/>
  <c r="V90" i="4"/>
  <c r="W90" i="4"/>
  <c r="X90" i="4"/>
  <c r="X94" i="4"/>
  <c r="S4" i="5"/>
  <c r="W4" i="4"/>
  <c r="X4" i="4" s="1"/>
  <c r="AA4" i="4" s="1"/>
  <c r="Q27" i="3"/>
  <c r="S16" i="5"/>
  <c r="W16" i="4"/>
  <c r="X16" i="4" s="1"/>
  <c r="AA16" i="4" s="1"/>
  <c r="B63" i="5"/>
  <c r="S12" i="5"/>
  <c r="W12" i="4"/>
  <c r="X12" i="4" s="1"/>
  <c r="AA12" i="4" s="1"/>
  <c r="S18" i="5"/>
  <c r="W18" i="4"/>
  <c r="X18" i="4" s="1"/>
  <c r="AA18" i="4" s="1"/>
  <c r="AA37" i="4" s="1"/>
  <c r="F63" i="5"/>
  <c r="D63" i="5"/>
  <c r="Q79" i="1"/>
  <c r="Q80" i="1" s="1"/>
  <c r="Q44" i="1"/>
  <c r="Q45" i="1" s="1"/>
  <c r="Q29" i="1"/>
  <c r="Q30" i="1" s="1"/>
  <c r="Q65" i="1"/>
  <c r="Q66" i="1" s="1"/>
  <c r="Q194" i="3"/>
  <c r="S10" i="5"/>
  <c r="W10" i="4"/>
  <c r="X10" i="4" s="1"/>
  <c r="AA10" i="4" s="1"/>
  <c r="Q131" i="3"/>
  <c r="Q44" i="3"/>
  <c r="Q71" i="3"/>
  <c r="Q114" i="3"/>
  <c r="Q146" i="3"/>
  <c r="Y18" i="4" l="1"/>
  <c r="Y37" i="4" s="1"/>
  <c r="Z18" i="4"/>
  <c r="Z37" i="4" s="1"/>
  <c r="Y12" i="4"/>
  <c r="Z12" i="4"/>
  <c r="Y4" i="4"/>
  <c r="Z4" i="4"/>
  <c r="Y10" i="4"/>
  <c r="Z10" i="4"/>
  <c r="Y16" i="4"/>
  <c r="Z16" i="4"/>
  <c r="S8" i="5"/>
  <c r="W8" i="4"/>
  <c r="X8" i="4" s="1"/>
  <c r="AA8" i="4" s="1"/>
  <c r="Q72" i="3"/>
  <c r="S14" i="5"/>
  <c r="W14" i="4"/>
  <c r="X14" i="4" s="1"/>
  <c r="AA14" i="4" s="1"/>
  <c r="Q132" i="3"/>
  <c r="E57" i="5"/>
  <c r="T10" i="5"/>
  <c r="I57" i="5"/>
  <c r="T18" i="5"/>
  <c r="F57" i="5"/>
  <c r="T12" i="5"/>
  <c r="H57" i="5"/>
  <c r="T16" i="5"/>
  <c r="S6" i="5"/>
  <c r="W6" i="4"/>
  <c r="X6" i="4" s="1"/>
  <c r="AA6" i="4" s="1"/>
  <c r="Q45" i="3"/>
  <c r="B57" i="5"/>
  <c r="T4" i="5"/>
  <c r="Q113" i="1"/>
  <c r="Q19" i="1" s="1"/>
  <c r="Y6" i="4" l="1"/>
  <c r="Z6" i="4"/>
  <c r="Y8" i="4"/>
  <c r="Z8" i="4"/>
  <c r="Y14" i="4"/>
  <c r="Z14" i="4"/>
  <c r="S28" i="5"/>
  <c r="W28" i="4"/>
  <c r="X28" i="4" s="1"/>
  <c r="AA28" i="4" s="1"/>
  <c r="Q20" i="1"/>
  <c r="Q32" i="1"/>
  <c r="H58" i="5"/>
  <c r="V16" i="5"/>
  <c r="F58" i="5"/>
  <c r="V12" i="5"/>
  <c r="I58" i="5"/>
  <c r="V18" i="5"/>
  <c r="Q47" i="1"/>
  <c r="E58" i="5"/>
  <c r="V10" i="5"/>
  <c r="G57" i="5"/>
  <c r="T14" i="5"/>
  <c r="B58" i="5"/>
  <c r="V4" i="5"/>
  <c r="Q82" i="1"/>
  <c r="C57" i="5"/>
  <c r="T6" i="5"/>
  <c r="Q68" i="1"/>
  <c r="D57" i="5"/>
  <c r="T8" i="5"/>
  <c r="Y28" i="4" l="1"/>
  <c r="Z28" i="4"/>
  <c r="D58" i="5"/>
  <c r="V8" i="5"/>
  <c r="W34" i="4"/>
  <c r="X34" i="4" s="1"/>
  <c r="AA34" i="4" s="1"/>
  <c r="S34" i="5"/>
  <c r="Q69" i="1"/>
  <c r="T19" i="5"/>
  <c r="B64" i="5"/>
  <c r="T28" i="5"/>
  <c r="C58" i="5"/>
  <c r="V6" i="5"/>
  <c r="S36" i="5"/>
  <c r="W36" i="4"/>
  <c r="X36" i="4" s="1"/>
  <c r="AA36" i="4" s="1"/>
  <c r="Q83" i="1"/>
  <c r="S32" i="5"/>
  <c r="W32" i="4"/>
  <c r="X32" i="4" s="1"/>
  <c r="AA32" i="4" s="1"/>
  <c r="Q48" i="1"/>
  <c r="W30" i="4"/>
  <c r="X30" i="4" s="1"/>
  <c r="AA30" i="4" s="1"/>
  <c r="S30" i="5"/>
  <c r="Q33" i="1"/>
  <c r="G58" i="5"/>
  <c r="V14" i="5"/>
  <c r="V19" i="5" s="1"/>
  <c r="X23" i="5" s="1"/>
  <c r="Y32" i="4" l="1"/>
  <c r="Z32" i="4"/>
  <c r="Y36" i="4"/>
  <c r="Z36" i="4"/>
  <c r="Y30" i="4"/>
  <c r="Z30" i="4"/>
  <c r="Y34" i="4"/>
  <c r="Z34" i="4"/>
  <c r="W23" i="5"/>
  <c r="W14" i="5"/>
  <c r="W8" i="5"/>
  <c r="O47" i="5"/>
  <c r="O43" i="5"/>
  <c r="O48" i="5"/>
  <c r="O45" i="5"/>
  <c r="W10" i="5"/>
  <c r="O49" i="5"/>
  <c r="O42" i="5"/>
  <c r="O44" i="5"/>
  <c r="W4" i="5"/>
  <c r="O46" i="5"/>
  <c r="W12" i="5"/>
  <c r="W16" i="5"/>
  <c r="W6" i="5"/>
  <c r="W18" i="5"/>
  <c r="C64" i="5"/>
  <c r="T30" i="5"/>
  <c r="D64" i="5"/>
  <c r="T32" i="5"/>
  <c r="F64" i="5"/>
  <c r="T36" i="5"/>
  <c r="V28" i="5"/>
  <c r="B65" i="5"/>
  <c r="E64" i="5"/>
  <c r="T34" i="5"/>
  <c r="E65" i="5" l="1"/>
  <c r="V34" i="5"/>
  <c r="V36" i="5"/>
  <c r="F65" i="5"/>
  <c r="V32" i="5"/>
  <c r="D65" i="5"/>
  <c r="C65" i="5"/>
  <c r="V30" i="5"/>
  <c r="O50" i="5"/>
  <c r="X12" i="5"/>
  <c r="Y12" i="5" s="1"/>
  <c r="X18" i="5"/>
  <c r="W37" i="5" s="1"/>
  <c r="W28" i="5" s="1"/>
  <c r="X10" i="5"/>
  <c r="Y10" i="5" s="1"/>
  <c r="X4" i="5"/>
  <c r="Y4" i="5" s="1"/>
  <c r="X16" i="5"/>
  <c r="Y16" i="5" s="1"/>
  <c r="X8" i="5"/>
  <c r="Y8" i="5" s="1"/>
  <c r="X6" i="5"/>
  <c r="Y6" i="5" s="1"/>
  <c r="X14" i="5"/>
  <c r="Y14" i="5" s="1"/>
  <c r="Y18" i="5" l="1"/>
  <c r="Y19" i="5" s="1"/>
  <c r="W36" i="5"/>
  <c r="W30" i="5"/>
  <c r="W32" i="5"/>
  <c r="W34" i="5"/>
</calcChain>
</file>

<file path=xl/sharedStrings.xml><?xml version="1.0" encoding="utf-8"?>
<sst xmlns="http://schemas.openxmlformats.org/spreadsheetml/2006/main" count="870" uniqueCount="407">
  <si>
    <t>Fundação Universidade Federal de Rondônia</t>
  </si>
  <si>
    <t>Relatório de Indicadores Agregado - 2012</t>
  </si>
  <si>
    <t>1 - Ensino Presencial</t>
  </si>
  <si>
    <t>1.1 - CAMPUS DE CACOAL (Cacoal - RO)</t>
  </si>
  <si>
    <t>1.1.1 - Graduação</t>
  </si>
  <si>
    <t>Curso</t>
  </si>
  <si>
    <t>Nome</t>
  </si>
  <si>
    <t>Turno</t>
  </si>
  <si>
    <t>Ofertas</t>
  </si>
  <si>
    <t>Ingres.</t>
  </si>
  <si>
    <t>Matric.</t>
  </si>
  <si>
    <t>Conc.</t>
  </si>
  <si>
    <t>16008</t>
  </si>
  <si>
    <t>ADMINISTRAÇÃO (VESPERTINO) - CACOAL</t>
  </si>
  <si>
    <t>V</t>
  </si>
  <si>
    <t>ADMINISTRAÇÃO - CACOAL</t>
  </si>
  <si>
    <t>N</t>
  </si>
  <si>
    <t>16000</t>
  </si>
  <si>
    <t>CIÊNCIAS CONTABEIS - CACOAL</t>
  </si>
  <si>
    <t>CIÊNCIAS CONTÁBEIS (VESPERTINO) CACOAL</t>
  </si>
  <si>
    <t>16012</t>
  </si>
  <si>
    <t>DIREITO (VESPERTINO) - CACOAL</t>
  </si>
  <si>
    <t>DIREITO - CACOAL</t>
  </si>
  <si>
    <t>116748</t>
  </si>
  <si>
    <t>ENGENHARIA DE PESCA E AQUICULTURA</t>
  </si>
  <si>
    <t>I</t>
  </si>
  <si>
    <t>1106843</t>
  </si>
  <si>
    <t>Engenharia de Produção Agroindustrial</t>
  </si>
  <si>
    <t>1.2 - CAMPUS DE GUAJARÁ - MIRIM (Guajará-Mirim - RO)</t>
  </si>
  <si>
    <t>1.2.1 - Graduação</t>
  </si>
  <si>
    <t>16020</t>
  </si>
  <si>
    <t>ADMINISTRAÇÃO - G_MIRIM</t>
  </si>
  <si>
    <t>122760</t>
  </si>
  <si>
    <t>GESTÃO AMBIENTAL</t>
  </si>
  <si>
    <t>M</t>
  </si>
  <si>
    <t>16003</t>
  </si>
  <si>
    <t>LETRAS - G_MIRIM</t>
  </si>
  <si>
    <t>16007</t>
  </si>
  <si>
    <t>PEDAGOGIA - G_MIRIM</t>
  </si>
  <si>
    <t>1.2.2 - Pós-Graduação</t>
  </si>
  <si>
    <t>10001018008P0</t>
  </si>
  <si>
    <t>CIÊNCIAS DA LINGUAGEM</t>
  </si>
  <si>
    <t>1.3 - CAMPUS DE JI-PARANÁ (Ji-Paraná - RO)</t>
  </si>
  <si>
    <t>1.3.1 - Graduação</t>
  </si>
  <si>
    <t>116738</t>
  </si>
  <si>
    <t>EDUCAÇÃO BÁSICA INTERCULTURAL</t>
  </si>
  <si>
    <t>100719</t>
  </si>
  <si>
    <t>ENGENHARIA AMBIENTAL - JIPA</t>
  </si>
  <si>
    <t>116746</t>
  </si>
  <si>
    <t>ESTATISTICA - JIPA</t>
  </si>
  <si>
    <t>16011</t>
  </si>
  <si>
    <t>FÍSICA - JIPA</t>
  </si>
  <si>
    <t>FÍSICA - JIPA BACHARELADO</t>
  </si>
  <si>
    <t>16010</t>
  </si>
  <si>
    <t>MATEMÁTICA - JIPA</t>
  </si>
  <si>
    <t>16002</t>
  </si>
  <si>
    <t>PEDAGOGIA - JIPA</t>
  </si>
  <si>
    <t>1.4 - CAMPUS DE ROLIM DE MOURA (Rolim de Moura - RO)</t>
  </si>
  <si>
    <t>1.4.1 - Graduação</t>
  </si>
  <si>
    <t>58075</t>
  </si>
  <si>
    <t>ENGENHARIA AGRONÔMICA - R_MOURA</t>
  </si>
  <si>
    <t>116734</t>
  </si>
  <si>
    <t>ENGENHARIA FLORESTAL</t>
  </si>
  <si>
    <t>122758</t>
  </si>
  <si>
    <t>HISTÓRIA</t>
  </si>
  <si>
    <t>150273</t>
  </si>
  <si>
    <t>MEDICINA VETERINÁRIA</t>
  </si>
  <si>
    <t>16006</t>
  </si>
  <si>
    <t>PEDAGOGIA - R_MOURA</t>
  </si>
  <si>
    <t>1.5 - CAMPUS DE VILHENA (Vilhena - RO)</t>
  </si>
  <si>
    <t>1.5.1 - Graduação</t>
  </si>
  <si>
    <t>122752</t>
  </si>
  <si>
    <t>ADMINISTRAÇÃO</t>
  </si>
  <si>
    <t>16016</t>
  </si>
  <si>
    <t>CIÊNCIAS CONTABEIS - VILHENA</t>
  </si>
  <si>
    <t>58084</t>
  </si>
  <si>
    <t>JORNALISMO (MATUTINO)- VILHENA</t>
  </si>
  <si>
    <t>JORNALISMO (NOTURNO) - VILHENA</t>
  </si>
  <si>
    <t>16004</t>
  </si>
  <si>
    <t>LETRAS (MATUTINO) - VILHENA</t>
  </si>
  <si>
    <t>LETRAS (NOTURNO) - VILHENA</t>
  </si>
  <si>
    <t>44076</t>
  </si>
  <si>
    <t>PEDAGOGIA (MATUTINO) - VILHENA</t>
  </si>
  <si>
    <t>PEDAGOGIA (NOTURNO) - VILHENA</t>
  </si>
  <si>
    <t>1.6 - Campus de Ariquemes (Ariquemes - RO)</t>
  </si>
  <si>
    <t>1.6.1 - Graduação</t>
  </si>
  <si>
    <t>116776</t>
  </si>
  <si>
    <t>ENGENHARIA DE ALIMENTOS</t>
  </si>
  <si>
    <t>116782</t>
  </si>
  <si>
    <t>PEDAGOGIA</t>
  </si>
  <si>
    <t>1.7 - ENGENHEIRO JOSÉ RIBEIRO FILHO - PORTO VELHO (Porto Velho - RO)</t>
  </si>
  <si>
    <t>1.7.1 - Graduação</t>
  </si>
  <si>
    <t>15988</t>
  </si>
  <si>
    <t>116712</t>
  </si>
  <si>
    <t>ARQUEOLOGIA</t>
  </si>
  <si>
    <t>123567</t>
  </si>
  <si>
    <t>ARTES VISUAIS</t>
  </si>
  <si>
    <t>318363</t>
  </si>
  <si>
    <t>15989</t>
  </si>
  <si>
    <t>CIÊNCIAS CONTABEIS</t>
  </si>
  <si>
    <t>116718</t>
  </si>
  <si>
    <t>CIÊNCIAS DA INFORMAÇÃO</t>
  </si>
  <si>
    <t>15987</t>
  </si>
  <si>
    <t>CIÊNCIAS ECONÔMICAS</t>
  </si>
  <si>
    <t>85458</t>
  </si>
  <si>
    <t>15995</t>
  </si>
  <si>
    <t>DIREITO</t>
  </si>
  <si>
    <t>15990</t>
  </si>
  <si>
    <t>EDUCAÇÃO FISICA</t>
  </si>
  <si>
    <t>15998</t>
  </si>
  <si>
    <t>116727</t>
  </si>
  <si>
    <t>ENGENHARIA CIVIL</t>
  </si>
  <si>
    <t>100292</t>
  </si>
  <si>
    <t>ENGENHARIA ELÉTRICA</t>
  </si>
  <si>
    <t>416732</t>
  </si>
  <si>
    <t>FILOSOFIA</t>
  </si>
  <si>
    <t>100289</t>
  </si>
  <si>
    <t>FÍSICA</t>
  </si>
  <si>
    <t>15994</t>
  </si>
  <si>
    <t>GEOGRAFIA</t>
  </si>
  <si>
    <t>15992</t>
  </si>
  <si>
    <t>318882</t>
  </si>
  <si>
    <t>INFORMÁTICA</t>
  </si>
  <si>
    <t>20940</t>
  </si>
  <si>
    <t>LETRAS/ESPANHOL</t>
  </si>
  <si>
    <t>20941</t>
  </si>
  <si>
    <t>LETRAS/INGLÊS</t>
  </si>
  <si>
    <t>15993</t>
  </si>
  <si>
    <t>LETRAS/PORTUGUÊS</t>
  </si>
  <si>
    <t>16009</t>
  </si>
  <si>
    <t>MATEMÁTICA</t>
  </si>
  <si>
    <t>51699</t>
  </si>
  <si>
    <t>MEDICINA</t>
  </si>
  <si>
    <t>123553</t>
  </si>
  <si>
    <t>MÚSICA</t>
  </si>
  <si>
    <t>15991</t>
  </si>
  <si>
    <t>15999</t>
  </si>
  <si>
    <t>PSICOLOGIA</t>
  </si>
  <si>
    <t>58082</t>
  </si>
  <si>
    <t>QUIMICA</t>
  </si>
  <si>
    <t>123584</t>
  </si>
  <si>
    <t>TEATRO</t>
  </si>
  <si>
    <t>1.7.2 - Pós-Graduação</t>
  </si>
  <si>
    <t>10001018006P7</t>
  </si>
  <si>
    <t>10001018002P1</t>
  </si>
  <si>
    <t>BIOLOGIA EXPERIMENTAL</t>
  </si>
  <si>
    <t>10001018004P4</t>
  </si>
  <si>
    <t>DESENVOLVIMENTO REGIONAL E MEIO AMBIENTE</t>
  </si>
  <si>
    <t>10001018005P0</t>
  </si>
  <si>
    <t>10001018011P0</t>
  </si>
  <si>
    <t>MESTRADO ACADÊMICO EM EDUCAÇÃO</t>
  </si>
  <si>
    <t>10001018012P7</t>
  </si>
  <si>
    <t>MESTRADO ACADÊMICO EM ESTUDOS LITERÁRIOS</t>
  </si>
  <si>
    <t>10001018015P6</t>
  </si>
  <si>
    <t>MESTRADO ACADÊMICO EM HISTÓRIA E ESTUDOS CULTURAIS</t>
  </si>
  <si>
    <t>10001018010P4</t>
  </si>
  <si>
    <t>MESTRADO ACADÊMICO EM LETRAS</t>
  </si>
  <si>
    <t>10001018009P6</t>
  </si>
  <si>
    <t>MESTRADO ACADÊMICO EM PSICOLOGIA</t>
  </si>
  <si>
    <t>Fórmula de calculo: TAEj = TAEGj + TAERMj + TAEMj + TAEDj</t>
  </si>
  <si>
    <t xml:space="preserve">TAEj </t>
  </si>
  <si>
    <t>TAEGj</t>
  </si>
  <si>
    <t>TAERMj</t>
  </si>
  <si>
    <t>TAEMj</t>
  </si>
  <si>
    <t>TAEDj</t>
  </si>
  <si>
    <t>1.7C - Campus de Presidente Médice (Presidente Médice - RO)</t>
  </si>
  <si>
    <t>1.7C.1 - Graduação</t>
  </si>
  <si>
    <t>TAEG</t>
  </si>
  <si>
    <t>TAEG TOTAL</t>
  </si>
  <si>
    <t>TAEM TOTAL</t>
  </si>
  <si>
    <t>TAEG - CACOAL</t>
  </si>
  <si>
    <t>% TAE</t>
  </si>
  <si>
    <t xml:space="preserve">TAE - </t>
  </si>
  <si>
    <t>TAEM</t>
  </si>
  <si>
    <t xml:space="preserve">TAEM - </t>
  </si>
  <si>
    <t>TAEG - JI-PARANÁ</t>
  </si>
  <si>
    <t>TAEG - ROLIM DE MOURA</t>
  </si>
  <si>
    <t>TAEG - ARIQUEMES</t>
  </si>
  <si>
    <t>TAEG - PORTO VELHO</t>
  </si>
  <si>
    <t>LEGENDA</t>
  </si>
  <si>
    <t>TAE - CACOAL</t>
  </si>
  <si>
    <t>TAEG - GUAJARÁ-MIRIM</t>
  </si>
  <si>
    <t>TAE - GUAJARÁ-MIRIM</t>
  </si>
  <si>
    <t>TAEM - GUAJARÁ-MIRIM</t>
  </si>
  <si>
    <t>TAE - JI-PARANÁ</t>
  </si>
  <si>
    <t>TAE - ROLIM DE MOURA</t>
  </si>
  <si>
    <t>TAEG - VILHENA</t>
  </si>
  <si>
    <t>TAE - VILHENA</t>
  </si>
  <si>
    <t>TAE - ARIQUEMES</t>
  </si>
  <si>
    <t>cc</t>
  </si>
  <si>
    <t>TAEM - PORTO VELHO</t>
  </si>
  <si>
    <t>CPC</t>
  </si>
  <si>
    <t>DQG - ARIQUEMES</t>
  </si>
  <si>
    <t>sem cpc</t>
  </si>
  <si>
    <t>FCG</t>
  </si>
  <si>
    <t>C/capes</t>
  </si>
  <si>
    <t>DQG - CACOAL</t>
  </si>
  <si>
    <t>DQG - GUAJARÁ-MIRIM</t>
  </si>
  <si>
    <t>DQG - JI-PARANÁ</t>
  </si>
  <si>
    <t>DQG - ROLIM DE MOURA</t>
  </si>
  <si>
    <t>DQG - VILHENA</t>
  </si>
  <si>
    <t>TAEG - PRESIDENTE MÉDICE</t>
  </si>
  <si>
    <t>TAE - PRESIDENTE MÉDICE</t>
  </si>
  <si>
    <t>DQG - PRESIDENTE MÉDICE</t>
  </si>
  <si>
    <t>TAE - PORTO VELHO</t>
  </si>
  <si>
    <t>DQG - PORTO VELHO</t>
  </si>
  <si>
    <t>NÚCLEO DE CIÊNCIAS SOCIAIS APLICADAS</t>
  </si>
  <si>
    <t>NÚCLEO DE TECNOLOGIA</t>
  </si>
  <si>
    <t>NÚCLEO DE CIÊNCIAS HUMANAS</t>
  </si>
  <si>
    <t>NÚCLEO DE SAÚDE</t>
  </si>
  <si>
    <t>NÚCLEO DE CIÊNCIAS EXATAS E DA TERRA</t>
  </si>
  <si>
    <t>CIÊNCIAS BIOLÓGICAS</t>
  </si>
  <si>
    <t>CIÊNCIAS SOCIAIS</t>
  </si>
  <si>
    <t>ENFERMAGEM</t>
  </si>
  <si>
    <t>CSG - MÉDIO</t>
  </si>
  <si>
    <t>DQM - PORTO VELHO</t>
  </si>
  <si>
    <t>FQM</t>
  </si>
  <si>
    <t>CCM - MÉDIO</t>
  </si>
  <si>
    <t>C.CAPES</t>
  </si>
  <si>
    <t>DQM - GUAJARÁ-MIRIM</t>
  </si>
  <si>
    <t>DEAE - JI-PARANÁ</t>
  </si>
  <si>
    <t>DE</t>
  </si>
  <si>
    <t>T-40</t>
  </si>
  <si>
    <t>T-20</t>
  </si>
  <si>
    <t>SUBST</t>
  </si>
  <si>
    <t>RAP - JI-PARANÁ</t>
  </si>
  <si>
    <t>DEQ - JI-PARANÁ</t>
  </si>
  <si>
    <t>RAP - CACOAL</t>
  </si>
  <si>
    <t>DEAE - CACOAL</t>
  </si>
  <si>
    <t>DEQ - CACOAL</t>
  </si>
  <si>
    <t>RAP - MÉDIO</t>
  </si>
  <si>
    <t>RAP - GUAJARÁ-MIRIM</t>
  </si>
  <si>
    <t>DEAE - GUAJARÁ-MIRIM</t>
  </si>
  <si>
    <t>DEQ - GUAJARÁ-MIRIM</t>
  </si>
  <si>
    <t>RAP - ROLIM DE MOURA</t>
  </si>
  <si>
    <t>DEAE - ROLIM DE MOURA</t>
  </si>
  <si>
    <t>DEQ - ROLIM DE MOURA</t>
  </si>
  <si>
    <t>RAP - VILHENA</t>
  </si>
  <si>
    <t>DEAE - VILHENA</t>
  </si>
  <si>
    <t>DEQ - VILHENA</t>
  </si>
  <si>
    <t>RAP - ARIQUEMES</t>
  </si>
  <si>
    <t>DEAE - ARIQUEMES</t>
  </si>
  <si>
    <t>DEQ - ARIQUEMES</t>
  </si>
  <si>
    <t>RAP - PRESIDENTE MÉDICE</t>
  </si>
  <si>
    <t>DEAE - PRESIDENTE MÉDICE</t>
  </si>
  <si>
    <t>DEQ - PRESIDENTE MÉDICE</t>
  </si>
  <si>
    <t>RAP - PORTO VELHO</t>
  </si>
  <si>
    <t>DEAE - PORTO VELHO</t>
  </si>
  <si>
    <t>DEQ - PORTO VELHO</t>
  </si>
  <si>
    <t>DEQ - TOTAL</t>
  </si>
  <si>
    <t>TAE - TOTAL</t>
  </si>
  <si>
    <t>PTAE - CACOAL</t>
  </si>
  <si>
    <t>EQR - CACOAL</t>
  </si>
  <si>
    <t>PART - CACOAL</t>
  </si>
  <si>
    <t>PTAE - GUAJARÁ-MIRIM</t>
  </si>
  <si>
    <t>EQR - GUAJARÁ-MIRIM</t>
  </si>
  <si>
    <t>PART - GUAJARÁ-MIRIM</t>
  </si>
  <si>
    <t>PTAE - JI-PARANÁ</t>
  </si>
  <si>
    <t>EQR - JI-PARANÁ</t>
  </si>
  <si>
    <t>PART - JI-PARANÁ</t>
  </si>
  <si>
    <t>PTAE - ROLIM DE MOURA</t>
  </si>
  <si>
    <t>EQR - ROLIM DE MOURA</t>
  </si>
  <si>
    <t>PART - ROLIM DE MOURA</t>
  </si>
  <si>
    <t>PTAE - VILHENA</t>
  </si>
  <si>
    <t>EQR - VILHENA</t>
  </si>
  <si>
    <t>PART - VILHENA</t>
  </si>
  <si>
    <t>PTAE - ARIQUEMES</t>
  </si>
  <si>
    <t>EQR - ARIQUEMES</t>
  </si>
  <si>
    <t>PART - ARIQUEMES</t>
  </si>
  <si>
    <t>PTAE - PRESIDENTE MÉDICE</t>
  </si>
  <si>
    <t>EQR - PRESIDENTE MÉDICE</t>
  </si>
  <si>
    <t>PART - PRESIDENTE MÉDICE</t>
  </si>
  <si>
    <t>PTAE - PORTO VELHO</t>
  </si>
  <si>
    <t>EQR - PORTO VELHO</t>
  </si>
  <si>
    <t>PART - PORTO VELHO</t>
  </si>
  <si>
    <t xml:space="preserve">TAEG - </t>
  </si>
  <si>
    <t xml:space="preserve">DQG - </t>
  </si>
  <si>
    <t xml:space="preserve">RAP - </t>
  </si>
  <si>
    <t xml:space="preserve">DEAE - </t>
  </si>
  <si>
    <t xml:space="preserve">DEQ - </t>
  </si>
  <si>
    <t xml:space="preserve">PTAE - </t>
  </si>
  <si>
    <t xml:space="preserve">EQR - </t>
  </si>
  <si>
    <t xml:space="preserve">PART - </t>
  </si>
  <si>
    <t xml:space="preserve">DQM - </t>
  </si>
  <si>
    <t>TAEG - TOTAL</t>
  </si>
  <si>
    <t>TAEM - TOTAL</t>
  </si>
  <si>
    <t>Total de Aluno Equivalente de Graduação do Câmpus</t>
  </si>
  <si>
    <t>Total de Aluno Equivalente de Mestrado do Câmpus</t>
  </si>
  <si>
    <t>Total de Aluno Equivalente do Câmpus</t>
  </si>
  <si>
    <t xml:space="preserve">Dimensão Qualidade dos Cursos de Graduação do Câmpus </t>
  </si>
  <si>
    <t xml:space="preserve">Dimensão Qualidade dos Cursos de Mestrado do Câmpus </t>
  </si>
  <si>
    <t>Relação Aluno Equivalente por Professor Equivalente do Câmpus</t>
  </si>
  <si>
    <t>Dimensão Eficiência das Atividades de Ensino do Câmpus</t>
  </si>
  <si>
    <t>Participação do Câmpus no Total de Aluno Equivalente do Conjunto dos Campi</t>
  </si>
  <si>
    <t>Dimensão da Eficiência e Qualidade Acadêmico-Científica do Câmpus</t>
  </si>
  <si>
    <t>Dimensão da Eficiência e Qualidade Acadêmico-Científica do Câmpus Relativa ao Conjunto dos Campi</t>
  </si>
  <si>
    <t xml:space="preserve">Parcela Decimal de Participação do Câmpus no Total dos Recursos de OCC-UNIR </t>
  </si>
  <si>
    <t>Total de Aluno Equivalente de Graduação da UNIR</t>
  </si>
  <si>
    <t>Total de Aluno Equivalente de Mestrado da UNIR</t>
  </si>
  <si>
    <t>Total de Aluno Equivalente da UNIR</t>
  </si>
  <si>
    <t xml:space="preserve">Conceito Sinaes Médio do Conjunto dos Cursos de Graduação da UNIR </t>
  </si>
  <si>
    <t xml:space="preserve">Conceito CAPES Médio do Conjunto dos Cursos de Mestrado da UNIR </t>
  </si>
  <si>
    <t>Relação Aluno Equivalente por Professor Equivalente Média da UNIR</t>
  </si>
  <si>
    <t>Soma da Dimensão da Eficiência e Qualidade Acadêmico-Científica dos Campi</t>
  </si>
  <si>
    <t>CPC -</t>
  </si>
  <si>
    <t>Conceito Preliminar de Curso (SINAES)</t>
  </si>
  <si>
    <t>Conceito do Programa de Mestrado na CAPES</t>
  </si>
  <si>
    <t xml:space="preserve">FCG - </t>
  </si>
  <si>
    <t>C. CAPES -</t>
  </si>
  <si>
    <t>FQM -</t>
  </si>
  <si>
    <t>Fator Qualidade Acadêmico-Científica dos Cursos de Mestrado do Câmpus</t>
  </si>
  <si>
    <t>Fator Qualidade Acadêmico-Científica dos Cursos de Graduação do Câmpus</t>
  </si>
  <si>
    <t>TAEG - NUCSA</t>
  </si>
  <si>
    <t>TAE - NUCSA</t>
  </si>
  <si>
    <t>DQG - NUCSA</t>
  </si>
  <si>
    <t>RAP - NUCSA</t>
  </si>
  <si>
    <t>DEAE - NUCSA</t>
  </si>
  <si>
    <t>DEQ - NUCSA</t>
  </si>
  <si>
    <t>PTAE - NUCSA</t>
  </si>
  <si>
    <t>EQR - NUCSA</t>
  </si>
  <si>
    <t>PART - NUCSA</t>
  </si>
  <si>
    <t>TAEG - NT</t>
  </si>
  <si>
    <t>TAE - NT</t>
  </si>
  <si>
    <t>DQG - NT</t>
  </si>
  <si>
    <t>RAP - NT</t>
  </si>
  <si>
    <t>DEAE - NT</t>
  </si>
  <si>
    <t>DEQ - NT</t>
  </si>
  <si>
    <t>PTAE - NT</t>
  </si>
  <si>
    <t>EQR - NT</t>
  </si>
  <si>
    <t>PART - NT</t>
  </si>
  <si>
    <t>TAEG - NCET</t>
  </si>
  <si>
    <t>TAE - NCET</t>
  </si>
  <si>
    <t>DQG - NCET</t>
  </si>
  <si>
    <t>RAP - NCET</t>
  </si>
  <si>
    <t>DEAE - NCET</t>
  </si>
  <si>
    <t>DEQ - NCET</t>
  </si>
  <si>
    <t>PTAE - NCET</t>
  </si>
  <si>
    <t>EQR - NCET</t>
  </si>
  <si>
    <t>PART - NCET</t>
  </si>
  <si>
    <t>TAEG - NCH</t>
  </si>
  <si>
    <t>TAE - NCH</t>
  </si>
  <si>
    <t>DQG - NCH</t>
  </si>
  <si>
    <t>RAP - NCH</t>
  </si>
  <si>
    <t>DEAE - NCH</t>
  </si>
  <si>
    <t>DEQ - NCH</t>
  </si>
  <si>
    <t>PTAE - NCH</t>
  </si>
  <si>
    <t>EQR - NCH</t>
  </si>
  <si>
    <t>PART - NCH</t>
  </si>
  <si>
    <t>TAEG - NUSAU</t>
  </si>
  <si>
    <t>TAE - NUSAU</t>
  </si>
  <si>
    <t>DQG - NUSAU</t>
  </si>
  <si>
    <t>RAP - NUSAU</t>
  </si>
  <si>
    <t>DEAE - NUSAU</t>
  </si>
  <si>
    <t>DEQ - NUSAU</t>
  </si>
  <si>
    <t>PTAE - NUSAU</t>
  </si>
  <si>
    <t>EQR - NUSAU</t>
  </si>
  <si>
    <t>PART - NUSAU</t>
  </si>
  <si>
    <r>
      <t>% TAE</t>
    </r>
    <r>
      <rPr>
        <b/>
        <vertAlign val="subscript"/>
        <sz val="10"/>
        <color indexed="8"/>
        <rFont val="Arial"/>
        <family val="2"/>
      </rPr>
      <t>U</t>
    </r>
  </si>
  <si>
    <r>
      <t>TAE</t>
    </r>
    <r>
      <rPr>
        <b/>
        <vertAlign val="subscript"/>
        <sz val="10"/>
        <color indexed="8"/>
        <rFont val="Arial"/>
        <family val="2"/>
      </rPr>
      <t xml:space="preserve">U </t>
    </r>
    <r>
      <rPr>
        <b/>
        <sz val="10"/>
        <color indexed="8"/>
        <rFont val="Arial"/>
        <family val="2"/>
      </rPr>
      <t>TOTAL</t>
    </r>
  </si>
  <si>
    <t>%EQR</t>
  </si>
  <si>
    <t>%PART</t>
  </si>
  <si>
    <t>CACOAL</t>
  </si>
  <si>
    <t xml:space="preserve"> GUAJARÁ-MIRIM</t>
  </si>
  <si>
    <t>JI-PARANÁ</t>
  </si>
  <si>
    <t>ROLIM DE MOURA</t>
  </si>
  <si>
    <t>VILHENA</t>
  </si>
  <si>
    <t>ARIQUEMES</t>
  </si>
  <si>
    <t>PRESIDENTE MÉDICE</t>
  </si>
  <si>
    <t>PORTO VELHO</t>
  </si>
  <si>
    <t>Rateio OCC</t>
  </si>
  <si>
    <t>Orçamento Total de OCC UNIR 2014</t>
  </si>
  <si>
    <t>Orçamento Total de OCC Campus de Porto Velho - 2014</t>
  </si>
  <si>
    <t>FC-DIST.</t>
  </si>
  <si>
    <t>Porto Velho</t>
  </si>
  <si>
    <t>Ariquemes</t>
  </si>
  <si>
    <t>Guajará-Mirim</t>
  </si>
  <si>
    <t>Jí-Paraná</t>
  </si>
  <si>
    <t>Presidente-Médice</t>
  </si>
  <si>
    <t>Rolim de Moura</t>
  </si>
  <si>
    <t>Cacoal</t>
  </si>
  <si>
    <t>Vilhena</t>
  </si>
  <si>
    <t>Campus</t>
  </si>
  <si>
    <t>F. de cor.</t>
  </si>
  <si>
    <t>Total</t>
  </si>
  <si>
    <t>Dist. em Km.</t>
  </si>
  <si>
    <t>%PART.FINAL</t>
  </si>
  <si>
    <t>Percentual de Aluno Equivalente, Eficiencia qualidade Acadêmico-Científica e Participação no rateio de OCC da UNIR  por Campus - ANO 2014</t>
  </si>
  <si>
    <t>Percentual de Aluno Equivalente, Eficiencia na Qualidade Acadêmico-Científica e Participação no rateio de OCC da UNIR  por Núcleo - ANO 2014</t>
  </si>
  <si>
    <t>*Fator de Correção - FC (DISTÂNCIA DA SEDE)</t>
  </si>
  <si>
    <r>
      <t xml:space="preserve">*Fórmula: FC = Dist. Campus / </t>
    </r>
    <r>
      <rPr>
        <sz val="10"/>
        <rFont val="Symbol"/>
        <family val="1"/>
        <charset val="2"/>
      </rPr>
      <t>S</t>
    </r>
    <r>
      <rPr>
        <sz val="8.5"/>
        <rFont val="Arial"/>
      </rPr>
      <t xml:space="preserve"> (Distância do conjunto dos Campi da Sede)</t>
    </r>
  </si>
  <si>
    <t>GUAJARÁ-MIRIM</t>
  </si>
  <si>
    <t>JÍ-PARANÁ</t>
  </si>
  <si>
    <t>%TAEu</t>
  </si>
  <si>
    <t>NUCSA</t>
  </si>
  <si>
    <t>NT</t>
  </si>
  <si>
    <t>NCET</t>
  </si>
  <si>
    <t>NCH</t>
  </si>
  <si>
    <t>NUSAU</t>
  </si>
  <si>
    <t>Rateio - Custeio</t>
  </si>
  <si>
    <t>Rateio - Capital</t>
  </si>
  <si>
    <r>
      <t>% TAE</t>
    </r>
    <r>
      <rPr>
        <b/>
        <vertAlign val="subscript"/>
        <sz val="12"/>
        <color indexed="8"/>
        <rFont val="Arial"/>
        <family val="2"/>
      </rPr>
      <t>U</t>
    </r>
  </si>
  <si>
    <r>
      <t>TAE</t>
    </r>
    <r>
      <rPr>
        <b/>
        <vertAlign val="subscript"/>
        <sz val="12"/>
        <color indexed="8"/>
        <rFont val="Arial"/>
        <family val="2"/>
      </rPr>
      <t xml:space="preserve">U </t>
    </r>
    <r>
      <rPr>
        <b/>
        <sz val="12"/>
        <color indexed="8"/>
        <rFont val="Arial"/>
        <family val="2"/>
      </rPr>
      <t>TOTAL</t>
    </r>
  </si>
  <si>
    <t>Percentual de Aluno Equivalente e Participação no rateio de OCC da UNIR  por Campus - ANO 2014</t>
  </si>
  <si>
    <t>Percentual de Aluno Equivalente e Participação no rateio de OCC da UNIR  por Núcleo - ANO 2014</t>
  </si>
  <si>
    <t>Limite Diárias e Pass.)</t>
  </si>
  <si>
    <t>Limites        (Diárias e Pass.)</t>
  </si>
  <si>
    <t>Limites Diárias e Pass.)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</si>
</sst>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R$ &quot;#,##0.00_);\(&quot;R$ &quot;#,##0.00\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&quot;R$&quot;\ #,##0.00"/>
    <numFmt numFmtId="166" formatCode="&quot;R$ &quot;#,##0.00"/>
  </numFmts>
  <fonts count="23">
    <font>
      <sz val="10"/>
      <name val="Arial"/>
    </font>
    <font>
      <sz val="10"/>
      <name val="Arial"/>
    </font>
    <font>
      <sz val="10"/>
      <color indexed="8"/>
      <name val="sansserif"/>
    </font>
    <font>
      <b/>
      <sz val="14"/>
      <color indexed="8"/>
      <name val="Arial"/>
    </font>
    <font>
      <b/>
      <sz val="8"/>
      <color indexed="8"/>
      <name val="Times-Roman"/>
    </font>
    <font>
      <b/>
      <sz val="12"/>
      <color indexed="8"/>
      <name val="Arial"/>
    </font>
    <font>
      <b/>
      <sz val="11"/>
      <color indexed="8"/>
      <name val="Arial"/>
    </font>
    <font>
      <b/>
      <sz val="10"/>
      <color indexed="8"/>
      <name val="Arial"/>
    </font>
    <font>
      <sz val="8"/>
      <color indexed="8"/>
      <name val="Arial"/>
    </font>
    <font>
      <sz val="8"/>
      <name val="Arial"/>
    </font>
    <font>
      <b/>
      <sz val="10"/>
      <name val="Arial"/>
      <family val="2"/>
    </font>
    <font>
      <b/>
      <sz val="10"/>
      <color indexed="8"/>
      <name val="sansserif"/>
    </font>
    <font>
      <b/>
      <sz val="10"/>
      <color indexed="8"/>
      <name val="Arial"/>
      <family val="2"/>
    </font>
    <font>
      <b/>
      <sz val="10"/>
      <name val="Arial"/>
    </font>
    <font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Symbol"/>
      <family val="1"/>
      <charset val="2"/>
    </font>
    <font>
      <sz val="8.5"/>
      <name val="Arial"/>
    </font>
    <font>
      <sz val="12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51"/>
      </patternFill>
    </fill>
    <fill>
      <patternFill patternType="solid">
        <fgColor indexed="11"/>
        <bgColor indexed="26"/>
      </patternFill>
    </fill>
    <fill>
      <patternFill patternType="solid">
        <fgColor indexed="48"/>
        <bgColor indexed="26"/>
      </patternFill>
    </fill>
    <fill>
      <patternFill patternType="solid">
        <fgColor indexed="41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0"/>
        <bgColor indexed="49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0">
    <xf numFmtId="0" fontId="0" fillId="0" borderId="0" xfId="0"/>
    <xf numFmtId="0" fontId="2" fillId="2" borderId="0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shrinkToFit="1"/>
    </xf>
    <xf numFmtId="164" fontId="0" fillId="0" borderId="0" xfId="1" applyFont="1"/>
    <xf numFmtId="0" fontId="8" fillId="2" borderId="2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0" fillId="2" borderId="0" xfId="0" applyFill="1" applyBorder="1"/>
    <xf numFmtId="0" fontId="0" fillId="0" borderId="0" xfId="0" applyFill="1"/>
    <xf numFmtId="2" fontId="11" fillId="2" borderId="16" xfId="0" applyNumberFormat="1" applyFont="1" applyFill="1" applyBorder="1" applyAlignment="1">
      <alignment horizontal="center" vertical="top" wrapText="1"/>
    </xf>
    <xf numFmtId="2" fontId="11" fillId="2" borderId="17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top" wrapText="1"/>
    </xf>
    <xf numFmtId="0" fontId="11" fillId="2" borderId="18" xfId="0" applyFont="1" applyFill="1" applyBorder="1" applyAlignment="1">
      <alignment vertical="top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2" fontId="11" fillId="2" borderId="21" xfId="0" applyNumberFormat="1" applyFont="1" applyFill="1" applyBorder="1" applyAlignment="1">
      <alignment vertical="top" wrapText="1"/>
    </xf>
    <xf numFmtId="2" fontId="11" fillId="2" borderId="22" xfId="0" applyNumberFormat="1" applyFont="1" applyFill="1" applyBorder="1" applyAlignment="1">
      <alignment vertical="top" wrapText="1"/>
    </xf>
    <xf numFmtId="2" fontId="11" fillId="2" borderId="23" xfId="0" applyNumberFormat="1" applyFont="1" applyFill="1" applyBorder="1" applyAlignment="1">
      <alignment vertical="top" wrapText="1"/>
    </xf>
    <xf numFmtId="2" fontId="11" fillId="2" borderId="21" xfId="0" applyNumberFormat="1" applyFont="1" applyFill="1" applyBorder="1" applyAlignment="1">
      <alignment horizontal="center" vertical="top" wrapText="1"/>
    </xf>
    <xf numFmtId="2" fontId="11" fillId="2" borderId="22" xfId="0" applyNumberFormat="1" applyFont="1" applyFill="1" applyBorder="1" applyAlignment="1">
      <alignment horizontal="center" vertical="top" wrapText="1"/>
    </xf>
    <xf numFmtId="2" fontId="11" fillId="2" borderId="23" xfId="0" applyNumberFormat="1" applyFont="1" applyFill="1" applyBorder="1" applyAlignment="1">
      <alignment horizontal="center" vertical="top" wrapText="1"/>
    </xf>
    <xf numFmtId="2" fontId="11" fillId="2" borderId="24" xfId="0" applyNumberFormat="1" applyFont="1" applyFill="1" applyBorder="1" applyAlignment="1">
      <alignment horizontal="center" vertical="top" wrapText="1"/>
    </xf>
    <xf numFmtId="2" fontId="2" fillId="2" borderId="9" xfId="0" applyNumberFormat="1" applyFont="1" applyFill="1" applyBorder="1" applyAlignment="1">
      <alignment horizontal="center" vertical="top" wrapText="1"/>
    </xf>
    <xf numFmtId="2" fontId="2" fillId="2" borderId="18" xfId="0" applyNumberFormat="1" applyFont="1" applyFill="1" applyBorder="1" applyAlignment="1">
      <alignment horizontal="center" vertical="top" wrapText="1"/>
    </xf>
    <xf numFmtId="43" fontId="0" fillId="0" borderId="0" xfId="3" applyFont="1"/>
    <xf numFmtId="14" fontId="4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10" fontId="0" fillId="2" borderId="0" xfId="2" applyNumberFormat="1" applyFont="1" applyFill="1" applyBorder="1"/>
    <xf numFmtId="2" fontId="11" fillId="3" borderId="19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top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vertical="top" wrapText="1"/>
    </xf>
    <xf numFmtId="2" fontId="11" fillId="2" borderId="17" xfId="0" applyNumberFormat="1" applyFont="1" applyFill="1" applyBorder="1" applyAlignment="1">
      <alignment horizontal="center" vertical="top" wrapText="1"/>
    </xf>
    <xf numFmtId="2" fontId="11" fillId="3" borderId="19" xfId="0" applyNumberFormat="1" applyFont="1" applyFill="1" applyBorder="1" applyAlignment="1">
      <alignment horizontal="center" vertical="top" wrapText="1"/>
    </xf>
    <xf numFmtId="2" fontId="11" fillId="3" borderId="32" xfId="0" applyNumberFormat="1" applyFont="1" applyFill="1" applyBorder="1" applyAlignment="1">
      <alignment horizontal="center" vertical="center" wrapText="1"/>
    </xf>
    <xf numFmtId="2" fontId="11" fillId="3" borderId="3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2" fontId="11" fillId="3" borderId="10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 horizontal="center"/>
    </xf>
    <xf numFmtId="1" fontId="0" fillId="0" borderId="34" xfId="0" applyNumberFormat="1" applyBorder="1" applyAlignment="1">
      <alignment horizontal="center"/>
    </xf>
    <xf numFmtId="2" fontId="11" fillId="3" borderId="20" xfId="0" applyNumberFormat="1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1" fontId="10" fillId="0" borderId="36" xfId="0" applyNumberFormat="1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0" fillId="0" borderId="38" xfId="0" applyBorder="1"/>
    <xf numFmtId="0" fontId="0" fillId="0" borderId="40" xfId="0" applyBorder="1"/>
    <xf numFmtId="0" fontId="0" fillId="0" borderId="40" xfId="0" applyBorder="1" applyAlignment="1">
      <alignment horizontal="center"/>
    </xf>
    <xf numFmtId="1" fontId="0" fillId="0" borderId="41" xfId="2" applyNumberFormat="1" applyFont="1" applyFill="1" applyBorder="1" applyAlignment="1">
      <alignment horizontal="center"/>
    </xf>
    <xf numFmtId="2" fontId="0" fillId="0" borderId="42" xfId="0" applyNumberFormat="1" applyFill="1" applyBorder="1" applyAlignment="1">
      <alignment horizontal="center"/>
    </xf>
    <xf numFmtId="0" fontId="0" fillId="0" borderId="43" xfId="0" applyBorder="1" applyAlignment="1">
      <alignment horizontal="center"/>
    </xf>
    <xf numFmtId="1" fontId="0" fillId="0" borderId="41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1" fontId="10" fillId="0" borderId="44" xfId="0" applyNumberFormat="1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/>
    </xf>
    <xf numFmtId="1" fontId="10" fillId="0" borderId="46" xfId="0" applyNumberFormat="1" applyFont="1" applyBorder="1" applyAlignment="1">
      <alignment horizontal="center" vertical="center" shrinkToFit="1"/>
    </xf>
    <xf numFmtId="1" fontId="0" fillId="0" borderId="47" xfId="0" applyNumberForma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2" fontId="0" fillId="0" borderId="49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1" fontId="0" fillId="0" borderId="50" xfId="0" applyNumberFormat="1" applyBorder="1" applyAlignment="1">
      <alignment horizontal="center"/>
    </xf>
    <xf numFmtId="1" fontId="0" fillId="0" borderId="5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1" fontId="0" fillId="0" borderId="53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0" fontId="8" fillId="4" borderId="14" xfId="0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left" vertical="center" wrapText="1"/>
    </xf>
    <xf numFmtId="0" fontId="8" fillId="5" borderId="27" xfId="0" applyFont="1" applyFill="1" applyBorder="1" applyAlignment="1">
      <alignment horizontal="left" vertical="center" wrapText="1"/>
    </xf>
    <xf numFmtId="0" fontId="8" fillId="6" borderId="14" xfId="0" applyFont="1" applyFill="1" applyBorder="1" applyAlignment="1">
      <alignment horizontal="left" vertical="center" wrapText="1"/>
    </xf>
    <xf numFmtId="0" fontId="8" fillId="7" borderId="14" xfId="0" applyFont="1" applyFill="1" applyBorder="1" applyAlignment="1">
      <alignment horizontal="left" vertical="center" wrapText="1"/>
    </xf>
    <xf numFmtId="0" fontId="8" fillId="8" borderId="14" xfId="0" applyFont="1" applyFill="1" applyBorder="1" applyAlignment="1">
      <alignment horizontal="left" vertical="center" wrapText="1"/>
    </xf>
    <xf numFmtId="2" fontId="11" fillId="3" borderId="55" xfId="0" applyNumberFormat="1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shrinkToFit="1"/>
    </xf>
    <xf numFmtId="1" fontId="10" fillId="0" borderId="57" xfId="0" applyNumberFormat="1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/>
    </xf>
    <xf numFmtId="0" fontId="0" fillId="0" borderId="24" xfId="0" applyBorder="1"/>
    <xf numFmtId="1" fontId="0" fillId="0" borderId="44" xfId="0" applyNumberFormat="1" applyBorder="1" applyAlignment="1">
      <alignment horizontal="center"/>
    </xf>
    <xf numFmtId="0" fontId="10" fillId="0" borderId="56" xfId="0" applyFont="1" applyBorder="1" applyAlignment="1">
      <alignment horizontal="center" vertical="center"/>
    </xf>
    <xf numFmtId="0" fontId="8" fillId="4" borderId="59" xfId="0" applyFont="1" applyFill="1" applyBorder="1" applyAlignment="1">
      <alignment horizontal="left" vertical="center" wrapText="1"/>
    </xf>
    <xf numFmtId="0" fontId="8" fillId="2" borderId="60" xfId="0" applyFont="1" applyFill="1" applyBorder="1" applyAlignment="1">
      <alignment horizontal="left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2" fontId="2" fillId="2" borderId="49" xfId="0" applyNumberFormat="1" applyFont="1" applyFill="1" applyBorder="1" applyAlignment="1">
      <alignment horizontal="center" vertical="top" wrapText="1"/>
    </xf>
    <xf numFmtId="2" fontId="0" fillId="0" borderId="63" xfId="0" applyNumberFormat="1" applyBorder="1" applyAlignment="1">
      <alignment horizontal="center"/>
    </xf>
    <xf numFmtId="0" fontId="2" fillId="4" borderId="64" xfId="0" applyFont="1" applyFill="1" applyBorder="1" applyAlignment="1">
      <alignment horizontal="left" vertical="top" wrapText="1"/>
    </xf>
    <xf numFmtId="0" fontId="8" fillId="4" borderId="64" xfId="0" applyFont="1" applyFill="1" applyBorder="1" applyAlignment="1">
      <alignment horizontal="center" vertical="center" wrapText="1"/>
    </xf>
    <xf numFmtId="0" fontId="11" fillId="4" borderId="64" xfId="0" applyFont="1" applyFill="1" applyBorder="1" applyAlignment="1">
      <alignment horizontal="center" vertical="center" wrapText="1"/>
    </xf>
    <xf numFmtId="0" fontId="10" fillId="4" borderId="64" xfId="0" applyFont="1" applyFill="1" applyBorder="1" applyAlignment="1">
      <alignment horizontal="center" vertical="center"/>
    </xf>
    <xf numFmtId="1" fontId="10" fillId="4" borderId="64" xfId="0" applyNumberFormat="1" applyFont="1" applyFill="1" applyBorder="1" applyAlignment="1">
      <alignment horizontal="center" vertical="center" shrinkToFit="1"/>
    </xf>
    <xf numFmtId="0" fontId="10" fillId="4" borderId="65" xfId="0" applyFont="1" applyFill="1" applyBorder="1" applyAlignment="1">
      <alignment horizontal="center" vertical="center"/>
    </xf>
    <xf numFmtId="0" fontId="2" fillId="6" borderId="64" xfId="0" applyFont="1" applyFill="1" applyBorder="1" applyAlignment="1">
      <alignment horizontal="left" vertical="top" wrapText="1"/>
    </xf>
    <xf numFmtId="0" fontId="8" fillId="6" borderId="64" xfId="0" applyFont="1" applyFill="1" applyBorder="1" applyAlignment="1">
      <alignment horizontal="center" vertical="center" wrapText="1"/>
    </xf>
    <xf numFmtId="0" fontId="11" fillId="6" borderId="64" xfId="0" applyFont="1" applyFill="1" applyBorder="1" applyAlignment="1">
      <alignment horizontal="center" vertical="center" wrapText="1"/>
    </xf>
    <xf numFmtId="0" fontId="10" fillId="6" borderId="64" xfId="0" applyFont="1" applyFill="1" applyBorder="1" applyAlignment="1">
      <alignment horizontal="center" vertical="center"/>
    </xf>
    <xf numFmtId="1" fontId="10" fillId="6" borderId="64" xfId="0" applyNumberFormat="1" applyFont="1" applyFill="1" applyBorder="1" applyAlignment="1">
      <alignment horizontal="center" vertical="center" shrinkToFit="1"/>
    </xf>
    <xf numFmtId="0" fontId="10" fillId="6" borderId="65" xfId="0" applyFont="1" applyFill="1" applyBorder="1" applyAlignment="1">
      <alignment horizontal="center" vertical="center"/>
    </xf>
    <xf numFmtId="0" fontId="2" fillId="8" borderId="64" xfId="0" applyFont="1" applyFill="1" applyBorder="1" applyAlignment="1">
      <alignment horizontal="left" vertical="top" wrapText="1"/>
    </xf>
    <xf numFmtId="0" fontId="8" fillId="8" borderId="64" xfId="0" applyFont="1" applyFill="1" applyBorder="1" applyAlignment="1">
      <alignment horizontal="center" vertical="center" wrapText="1"/>
    </xf>
    <xf numFmtId="0" fontId="11" fillId="8" borderId="64" xfId="0" applyFont="1" applyFill="1" applyBorder="1" applyAlignment="1">
      <alignment horizontal="center" vertical="center" wrapText="1"/>
    </xf>
    <xf numFmtId="0" fontId="10" fillId="8" borderId="64" xfId="0" applyFont="1" applyFill="1" applyBorder="1" applyAlignment="1">
      <alignment horizontal="center" vertical="center"/>
    </xf>
    <xf numFmtId="1" fontId="10" fillId="8" borderId="64" xfId="0" applyNumberFormat="1" applyFont="1" applyFill="1" applyBorder="1" applyAlignment="1">
      <alignment horizontal="center" vertical="center" shrinkToFit="1"/>
    </xf>
    <xf numFmtId="0" fontId="10" fillId="8" borderId="65" xfId="0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left" vertical="top" wrapText="1"/>
    </xf>
    <xf numFmtId="0" fontId="8" fillId="5" borderId="64" xfId="0" applyFont="1" applyFill="1" applyBorder="1" applyAlignment="1">
      <alignment horizontal="center" vertical="center" wrapText="1"/>
    </xf>
    <xf numFmtId="0" fontId="11" fillId="5" borderId="64" xfId="0" applyFont="1" applyFill="1" applyBorder="1" applyAlignment="1">
      <alignment horizontal="center" vertical="center" wrapText="1"/>
    </xf>
    <xf numFmtId="0" fontId="10" fillId="5" borderId="64" xfId="0" applyFont="1" applyFill="1" applyBorder="1" applyAlignment="1">
      <alignment horizontal="center" vertical="center"/>
    </xf>
    <xf numFmtId="1" fontId="10" fillId="5" borderId="64" xfId="0" applyNumberFormat="1" applyFont="1" applyFill="1" applyBorder="1" applyAlignment="1">
      <alignment horizontal="center" vertical="center" shrinkToFit="1"/>
    </xf>
    <xf numFmtId="0" fontId="10" fillId="5" borderId="65" xfId="0" applyFont="1" applyFill="1" applyBorder="1" applyAlignment="1">
      <alignment horizontal="center" vertical="center"/>
    </xf>
    <xf numFmtId="0" fontId="2" fillId="7" borderId="64" xfId="0" applyFont="1" applyFill="1" applyBorder="1" applyAlignment="1">
      <alignment horizontal="left" vertical="top" wrapText="1"/>
    </xf>
    <xf numFmtId="0" fontId="8" fillId="7" borderId="64" xfId="0" applyFont="1" applyFill="1" applyBorder="1" applyAlignment="1">
      <alignment horizontal="center" vertical="center" wrapText="1"/>
    </xf>
    <xf numFmtId="0" fontId="11" fillId="7" borderId="64" xfId="0" applyFont="1" applyFill="1" applyBorder="1" applyAlignment="1">
      <alignment horizontal="center" vertical="center" wrapText="1"/>
    </xf>
    <xf numFmtId="0" fontId="10" fillId="7" borderId="64" xfId="0" applyFont="1" applyFill="1" applyBorder="1" applyAlignment="1">
      <alignment horizontal="center" vertical="center"/>
    </xf>
    <xf numFmtId="1" fontId="10" fillId="7" borderId="64" xfId="0" applyNumberFormat="1" applyFont="1" applyFill="1" applyBorder="1" applyAlignment="1">
      <alignment horizontal="center" vertical="center" shrinkToFit="1"/>
    </xf>
    <xf numFmtId="0" fontId="10" fillId="7" borderId="65" xfId="0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top" wrapText="1"/>
    </xf>
    <xf numFmtId="2" fontId="2" fillId="2" borderId="22" xfId="0" applyNumberFormat="1" applyFont="1" applyFill="1" applyBorder="1" applyAlignment="1">
      <alignment horizontal="center" vertical="top" wrapText="1"/>
    </xf>
    <xf numFmtId="0" fontId="0" fillId="0" borderId="66" xfId="0" applyBorder="1" applyAlignment="1">
      <alignment horizontal="center"/>
    </xf>
    <xf numFmtId="2" fontId="2" fillId="2" borderId="23" xfId="0" applyNumberFormat="1" applyFont="1" applyFill="1" applyBorder="1" applyAlignment="1">
      <alignment horizontal="center" vertical="top" wrapText="1"/>
    </xf>
    <xf numFmtId="0" fontId="0" fillId="0" borderId="67" xfId="0" applyBorder="1" applyAlignment="1">
      <alignment horizontal="center"/>
    </xf>
    <xf numFmtId="0" fontId="8" fillId="5" borderId="68" xfId="0" applyFont="1" applyFill="1" applyBorder="1" applyAlignment="1">
      <alignment horizontal="left" vertical="center" wrapText="1"/>
    </xf>
    <xf numFmtId="0" fontId="8" fillId="2" borderId="69" xfId="0" applyFont="1" applyFill="1" applyBorder="1" applyAlignment="1">
      <alignment horizontal="left" vertical="center" wrapText="1"/>
    </xf>
    <xf numFmtId="0" fontId="8" fillId="2" borderId="70" xfId="0" applyFont="1" applyFill="1" applyBorder="1" applyAlignment="1">
      <alignment horizontal="center" vertical="center" wrapText="1"/>
    </xf>
    <xf numFmtId="0" fontId="8" fillId="2" borderId="71" xfId="0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top" wrapText="1"/>
    </xf>
    <xf numFmtId="0" fontId="0" fillId="0" borderId="72" xfId="0" applyBorder="1" applyAlignment="1">
      <alignment horizontal="center"/>
    </xf>
    <xf numFmtId="2" fontId="0" fillId="0" borderId="73" xfId="0" applyNumberFormat="1" applyBorder="1" applyAlignment="1">
      <alignment horizontal="center"/>
    </xf>
    <xf numFmtId="1" fontId="10" fillId="0" borderId="58" xfId="0" applyNumberFormat="1" applyFont="1" applyBorder="1" applyAlignment="1">
      <alignment horizontal="center" vertical="center" shrinkToFit="1"/>
    </xf>
    <xf numFmtId="2" fontId="0" fillId="0" borderId="45" xfId="0" applyNumberForma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11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/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2" fontId="11" fillId="3" borderId="32" xfId="0" applyNumberFormat="1" applyFont="1" applyFill="1" applyBorder="1" applyAlignment="1">
      <alignment horizontal="center" vertical="top" wrapText="1"/>
    </xf>
    <xf numFmtId="0" fontId="0" fillId="2" borderId="0" xfId="0" applyFill="1" applyAlignment="1"/>
    <xf numFmtId="0" fontId="0" fillId="2" borderId="28" xfId="0" applyFill="1" applyBorder="1" applyAlignment="1"/>
    <xf numFmtId="2" fontId="11" fillId="3" borderId="19" xfId="2" applyNumberFormat="1" applyFont="1" applyFill="1" applyBorder="1" applyAlignment="1">
      <alignment horizontal="center" vertical="top" wrapText="1"/>
    </xf>
    <xf numFmtId="2" fontId="11" fillId="2" borderId="19" xfId="2" applyNumberFormat="1" applyFont="1" applyFill="1" applyBorder="1" applyAlignment="1">
      <alignment horizontal="center" vertical="top" wrapText="1"/>
    </xf>
    <xf numFmtId="165" fontId="2" fillId="2" borderId="0" xfId="1" applyNumberFormat="1" applyFont="1" applyFill="1" applyBorder="1" applyAlignment="1">
      <alignment horizontal="center" vertical="top" wrapText="1"/>
    </xf>
    <xf numFmtId="2" fontId="11" fillId="3" borderId="55" xfId="0" applyNumberFormat="1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2" fontId="11" fillId="2" borderId="0" xfId="0" applyNumberFormat="1" applyFont="1" applyFill="1" applyBorder="1" applyAlignment="1">
      <alignment horizontal="center" vertical="top" wrapText="1"/>
    </xf>
    <xf numFmtId="2" fontId="11" fillId="2" borderId="19" xfId="0" applyNumberFormat="1" applyFont="1" applyFill="1" applyBorder="1" applyAlignment="1">
      <alignment horizontal="center" vertical="top" wrapText="1"/>
    </xf>
    <xf numFmtId="0" fontId="11" fillId="9" borderId="55" xfId="0" applyFont="1" applyFill="1" applyBorder="1" applyAlignment="1">
      <alignment vertical="top" wrapText="1"/>
    </xf>
    <xf numFmtId="0" fontId="2" fillId="9" borderId="64" xfId="0" applyFont="1" applyFill="1" applyBorder="1" applyAlignment="1">
      <alignment vertical="top" wrapText="1"/>
    </xf>
    <xf numFmtId="0" fontId="11" fillId="10" borderId="55" xfId="0" applyFont="1" applyFill="1" applyBorder="1" applyAlignment="1">
      <alignment vertical="top" wrapText="1"/>
    </xf>
    <xf numFmtId="0" fontId="2" fillId="10" borderId="64" xfId="0" applyFont="1" applyFill="1" applyBorder="1" applyAlignment="1">
      <alignment vertical="top" wrapText="1"/>
    </xf>
    <xf numFmtId="0" fontId="11" fillId="11" borderId="55" xfId="0" applyFont="1" applyFill="1" applyBorder="1" applyAlignment="1">
      <alignment vertical="top" wrapText="1"/>
    </xf>
    <xf numFmtId="0" fontId="11" fillId="11" borderId="64" xfId="0" applyFont="1" applyFill="1" applyBorder="1" applyAlignment="1">
      <alignment vertical="top" wrapText="1"/>
    </xf>
    <xf numFmtId="0" fontId="11" fillId="9" borderId="64" xfId="0" applyFont="1" applyFill="1" applyBorder="1" applyAlignment="1">
      <alignment vertical="top" wrapText="1"/>
    </xf>
    <xf numFmtId="0" fontId="11" fillId="12" borderId="55" xfId="0" applyFont="1" applyFill="1" applyBorder="1" applyAlignment="1">
      <alignment vertical="top" wrapText="1"/>
    </xf>
    <xf numFmtId="0" fontId="11" fillId="12" borderId="64" xfId="0" applyFont="1" applyFill="1" applyBorder="1" applyAlignment="1">
      <alignment vertical="top" wrapText="1"/>
    </xf>
    <xf numFmtId="0" fontId="11" fillId="13" borderId="55" xfId="0" applyFont="1" applyFill="1" applyBorder="1" applyAlignment="1">
      <alignment vertical="top" wrapText="1"/>
    </xf>
    <xf numFmtId="0" fontId="11" fillId="13" borderId="64" xfId="0" applyFont="1" applyFill="1" applyBorder="1" applyAlignment="1">
      <alignment vertical="top" wrapText="1"/>
    </xf>
    <xf numFmtId="0" fontId="11" fillId="14" borderId="55" xfId="0" applyFont="1" applyFill="1" applyBorder="1" applyAlignment="1">
      <alignment vertical="top" wrapText="1"/>
    </xf>
    <xf numFmtId="0" fontId="11" fillId="14" borderId="64" xfId="0" applyFont="1" applyFill="1" applyBorder="1" applyAlignment="1">
      <alignment vertical="top" wrapText="1"/>
    </xf>
    <xf numFmtId="0" fontId="11" fillId="15" borderId="55" xfId="0" applyFont="1" applyFill="1" applyBorder="1" applyAlignment="1">
      <alignment vertical="top" wrapText="1"/>
    </xf>
    <xf numFmtId="0" fontId="11" fillId="15" borderId="64" xfId="0" applyFont="1" applyFill="1" applyBorder="1" applyAlignment="1">
      <alignment vertical="top" wrapText="1"/>
    </xf>
    <xf numFmtId="0" fontId="11" fillId="16" borderId="55" xfId="0" applyFont="1" applyFill="1" applyBorder="1" applyAlignment="1">
      <alignment vertical="top" wrapText="1"/>
    </xf>
    <xf numFmtId="0" fontId="11" fillId="16" borderId="64" xfId="0" applyFont="1" applyFill="1" applyBorder="1" applyAlignment="1">
      <alignment vertical="top" wrapText="1"/>
    </xf>
    <xf numFmtId="0" fontId="11" fillId="2" borderId="55" xfId="0" applyFont="1" applyFill="1" applyBorder="1" applyAlignment="1">
      <alignment vertical="top" wrapText="1"/>
    </xf>
    <xf numFmtId="0" fontId="11" fillId="2" borderId="64" xfId="0" applyFont="1" applyFill="1" applyBorder="1" applyAlignment="1">
      <alignment vertical="top" wrapText="1"/>
    </xf>
    <xf numFmtId="0" fontId="11" fillId="3" borderId="55" xfId="0" applyFont="1" applyFill="1" applyBorder="1" applyAlignment="1">
      <alignment vertical="top" wrapText="1"/>
    </xf>
    <xf numFmtId="0" fontId="11" fillId="3" borderId="64" xfId="0" applyFont="1" applyFill="1" applyBorder="1" applyAlignment="1">
      <alignment vertical="top" wrapText="1"/>
    </xf>
    <xf numFmtId="0" fontId="10" fillId="3" borderId="55" xfId="0" applyFont="1" applyFill="1" applyBorder="1" applyAlignment="1"/>
    <xf numFmtId="0" fontId="10" fillId="3" borderId="64" xfId="0" applyFont="1" applyFill="1" applyBorder="1" applyAlignment="1"/>
    <xf numFmtId="0" fontId="10" fillId="2" borderId="64" xfId="0" applyFont="1" applyFill="1" applyBorder="1" applyAlignment="1"/>
    <xf numFmtId="0" fontId="0" fillId="2" borderId="10" xfId="0" applyFill="1" applyBorder="1" applyAlignment="1"/>
    <xf numFmtId="0" fontId="0" fillId="2" borderId="11" xfId="0" applyFill="1" applyBorder="1" applyAlignment="1"/>
    <xf numFmtId="0" fontId="0" fillId="2" borderId="25" xfId="0" applyFill="1" applyBorder="1" applyAlignment="1"/>
    <xf numFmtId="0" fontId="0" fillId="2" borderId="74" xfId="0" applyFill="1" applyBorder="1" applyAlignment="1"/>
    <xf numFmtId="0" fontId="0" fillId="2" borderId="0" xfId="0" applyFill="1" applyBorder="1" applyAlignment="1"/>
    <xf numFmtId="0" fontId="0" fillId="2" borderId="75" xfId="0" applyFill="1" applyBorder="1" applyAlignment="1"/>
    <xf numFmtId="0" fontId="8" fillId="2" borderId="76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/>
    <xf numFmtId="0" fontId="11" fillId="3" borderId="55" xfId="0" applyFont="1" applyFill="1" applyBorder="1" applyAlignment="1">
      <alignment vertical="center"/>
    </xf>
    <xf numFmtId="0" fontId="11" fillId="3" borderId="64" xfId="0" applyFont="1" applyFill="1" applyBorder="1" applyAlignment="1">
      <alignment vertical="center"/>
    </xf>
    <xf numFmtId="2" fontId="11" fillId="2" borderId="32" xfId="0" applyNumberFormat="1" applyFont="1" applyFill="1" applyBorder="1" applyAlignment="1">
      <alignment horizontal="center" vertical="top" wrapText="1"/>
    </xf>
    <xf numFmtId="2" fontId="10" fillId="2" borderId="19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38" xfId="0" applyFont="1" applyFill="1" applyBorder="1"/>
    <xf numFmtId="0" fontId="0" fillId="2" borderId="39" xfId="0" applyFill="1" applyBorder="1"/>
    <xf numFmtId="0" fontId="10" fillId="2" borderId="40" xfId="0" applyFont="1" applyFill="1" applyBorder="1"/>
    <xf numFmtId="0" fontId="0" fillId="2" borderId="42" xfId="0" applyFill="1" applyBorder="1"/>
    <xf numFmtId="0" fontId="10" fillId="0" borderId="55" xfId="0" applyFont="1" applyBorder="1"/>
    <xf numFmtId="0" fontId="0" fillId="0" borderId="45" xfId="0" applyBorder="1"/>
    <xf numFmtId="0" fontId="10" fillId="3" borderId="35" xfId="0" applyFont="1" applyFill="1" applyBorder="1"/>
    <xf numFmtId="0" fontId="10" fillId="3" borderId="38" xfId="0" applyFont="1" applyFill="1" applyBorder="1"/>
    <xf numFmtId="166" fontId="0" fillId="0" borderId="0" xfId="1" applyNumberFormat="1" applyFont="1"/>
    <xf numFmtId="166" fontId="0" fillId="0" borderId="0" xfId="0" applyNumberFormat="1"/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wrapText="1"/>
    </xf>
    <xf numFmtId="2" fontId="0" fillId="3" borderId="37" xfId="0" applyNumberFormat="1" applyFill="1" applyBorder="1"/>
    <xf numFmtId="2" fontId="0" fillId="3" borderId="39" xfId="0" applyNumberFormat="1" applyFill="1" applyBorder="1"/>
    <xf numFmtId="0" fontId="14" fillId="17" borderId="0" xfId="0" applyFont="1" applyFill="1" applyBorder="1" applyAlignment="1">
      <alignment horizontal="left" vertical="top" wrapText="1"/>
    </xf>
    <xf numFmtId="2" fontId="12" fillId="18" borderId="77" xfId="0" applyNumberFormat="1" applyFont="1" applyFill="1" applyBorder="1" applyAlignment="1">
      <alignment horizontal="center" vertical="center" wrapText="1"/>
    </xf>
    <xf numFmtId="2" fontId="12" fillId="18" borderId="78" xfId="0" applyNumberFormat="1" applyFont="1" applyFill="1" applyBorder="1" applyAlignment="1">
      <alignment horizontal="center" vertical="top" wrapText="1"/>
    </xf>
    <xf numFmtId="10" fontId="0" fillId="0" borderId="19" xfId="2" applyNumberFormat="1" applyFont="1" applyBorder="1"/>
    <xf numFmtId="0" fontId="10" fillId="0" borderId="19" xfId="0" applyFont="1" applyFill="1" applyBorder="1"/>
    <xf numFmtId="0" fontId="10" fillId="0" borderId="65" xfId="0" applyFont="1" applyFill="1" applyBorder="1"/>
    <xf numFmtId="10" fontId="0" fillId="19" borderId="65" xfId="2" applyNumberFormat="1" applyFont="1" applyFill="1" applyBorder="1"/>
    <xf numFmtId="0" fontId="16" fillId="0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vertical="center"/>
    </xf>
    <xf numFmtId="0" fontId="10" fillId="0" borderId="65" xfId="0" applyFont="1" applyFill="1" applyBorder="1" applyAlignment="1">
      <alignment horizontal="center" vertical="center"/>
    </xf>
    <xf numFmtId="166" fontId="0" fillId="2" borderId="19" xfId="0" applyNumberFormat="1" applyFill="1" applyBorder="1"/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166" fontId="0" fillId="2" borderId="75" xfId="0" applyNumberFormat="1" applyFill="1" applyBorder="1"/>
    <xf numFmtId="0" fontId="0" fillId="0" borderId="0" xfId="0" applyBorder="1"/>
    <xf numFmtId="0" fontId="0" fillId="2" borderId="28" xfId="0" applyFill="1" applyBorder="1"/>
    <xf numFmtId="166" fontId="0" fillId="2" borderId="79" xfId="1" applyNumberFormat="1" applyFont="1" applyFill="1" applyBorder="1"/>
    <xf numFmtId="166" fontId="10" fillId="2" borderId="32" xfId="0" applyNumberFormat="1" applyFont="1" applyFill="1" applyBorder="1"/>
    <xf numFmtId="166" fontId="10" fillId="2" borderId="19" xfId="1" applyNumberFormat="1" applyFont="1" applyFill="1" applyBorder="1"/>
    <xf numFmtId="166" fontId="0" fillId="2" borderId="0" xfId="0" applyNumberFormat="1" applyFill="1" applyBorder="1"/>
    <xf numFmtId="0" fontId="14" fillId="17" borderId="0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center"/>
    </xf>
    <xf numFmtId="0" fontId="0" fillId="2" borderId="0" xfId="0" applyNumberFormat="1" applyFill="1" applyBorder="1"/>
    <xf numFmtId="0" fontId="0" fillId="0" borderId="39" xfId="0" applyBorder="1"/>
    <xf numFmtId="0" fontId="10" fillId="0" borderId="0" xfId="0" applyFont="1" applyBorder="1" applyAlignment="1"/>
    <xf numFmtId="0" fontId="0" fillId="0" borderId="37" xfId="0" applyBorder="1"/>
    <xf numFmtId="2" fontId="0" fillId="0" borderId="36" xfId="0" applyNumberFormat="1" applyBorder="1"/>
    <xf numFmtId="2" fontId="0" fillId="0" borderId="34" xfId="0" applyNumberFormat="1" applyBorder="1"/>
    <xf numFmtId="9" fontId="0" fillId="0" borderId="0" xfId="2" applyFont="1"/>
    <xf numFmtId="2" fontId="0" fillId="0" borderId="50" xfId="0" applyNumberFormat="1" applyBorder="1"/>
    <xf numFmtId="0" fontId="0" fillId="0" borderId="73" xfId="0" applyBorder="1"/>
    <xf numFmtId="0" fontId="10" fillId="0" borderId="1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65" xfId="0" applyFont="1" applyBorder="1"/>
    <xf numFmtId="43" fontId="0" fillId="2" borderId="0" xfId="3" applyFont="1" applyFill="1" applyBorder="1"/>
    <xf numFmtId="2" fontId="0" fillId="0" borderId="65" xfId="2" applyNumberFormat="1" applyFont="1" applyFill="1" applyBorder="1"/>
    <xf numFmtId="43" fontId="0" fillId="0" borderId="65" xfId="3" applyFont="1" applyFill="1" applyBorder="1"/>
    <xf numFmtId="9" fontId="0" fillId="2" borderId="0" xfId="2" applyFont="1" applyFill="1" applyBorder="1"/>
    <xf numFmtId="0" fontId="0" fillId="0" borderId="0" xfId="0" applyFill="1" applyBorder="1"/>
    <xf numFmtId="10" fontId="0" fillId="2" borderId="0" xfId="0" applyNumberFormat="1" applyFill="1" applyBorder="1"/>
    <xf numFmtId="2" fontId="0" fillId="0" borderId="0" xfId="0" applyNumberFormat="1"/>
    <xf numFmtId="0" fontId="14" fillId="17" borderId="81" xfId="0" applyFont="1" applyFill="1" applyBorder="1" applyAlignment="1">
      <alignment vertical="top" wrapText="1"/>
    </xf>
    <xf numFmtId="166" fontId="0" fillId="0" borderId="19" xfId="0" applyNumberFormat="1" applyBorder="1"/>
    <xf numFmtId="10" fontId="0" fillId="0" borderId="0" xfId="0" applyNumberFormat="1"/>
    <xf numFmtId="0" fontId="10" fillId="0" borderId="0" xfId="0" applyFont="1"/>
    <xf numFmtId="0" fontId="2" fillId="2" borderId="4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left" vertical="center" shrinkToFit="1"/>
    </xf>
    <xf numFmtId="0" fontId="2" fillId="2" borderId="83" xfId="0" applyFont="1" applyFill="1" applyBorder="1" applyAlignment="1">
      <alignment horizontal="left" vertical="center" shrinkToFit="1"/>
    </xf>
    <xf numFmtId="0" fontId="2" fillId="2" borderId="84" xfId="0" applyFont="1" applyFill="1" applyBorder="1" applyAlignment="1">
      <alignment horizontal="left" vertical="center" shrinkToFit="1"/>
    </xf>
    <xf numFmtId="0" fontId="2" fillId="2" borderId="34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top" wrapText="1"/>
    </xf>
    <xf numFmtId="0" fontId="10" fillId="10" borderId="55" xfId="0" applyFont="1" applyFill="1" applyBorder="1" applyAlignment="1">
      <alignment horizontal="center" vertical="center"/>
    </xf>
    <xf numFmtId="0" fontId="10" fillId="10" borderId="64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10" fillId="10" borderId="25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/>
    </xf>
    <xf numFmtId="0" fontId="10" fillId="2" borderId="64" xfId="0" applyFont="1" applyFill="1" applyBorder="1" applyAlignment="1">
      <alignment horizontal="center"/>
    </xf>
    <xf numFmtId="0" fontId="10" fillId="2" borderId="65" xfId="0" applyFont="1" applyFill="1" applyBorder="1" applyAlignment="1">
      <alignment horizontal="center"/>
    </xf>
    <xf numFmtId="0" fontId="11" fillId="3" borderId="55" xfId="0" applyFont="1" applyFill="1" applyBorder="1" applyAlignment="1">
      <alignment horizontal="center" vertical="top" wrapText="1"/>
    </xf>
    <xf numFmtId="0" fontId="11" fillId="3" borderId="64" xfId="0" applyFont="1" applyFill="1" applyBorder="1" applyAlignment="1">
      <alignment horizontal="center" vertical="top" wrapText="1"/>
    </xf>
    <xf numFmtId="0" fontId="11" fillId="3" borderId="65" xfId="0" applyFont="1" applyFill="1" applyBorder="1" applyAlignment="1">
      <alignment horizontal="center" vertical="top" wrapText="1"/>
    </xf>
    <xf numFmtId="0" fontId="11" fillId="2" borderId="55" xfId="0" applyFont="1" applyFill="1" applyBorder="1" applyAlignment="1">
      <alignment horizontal="center" vertical="top" wrapText="1"/>
    </xf>
    <xf numFmtId="0" fontId="11" fillId="2" borderId="64" xfId="0" applyFont="1" applyFill="1" applyBorder="1" applyAlignment="1">
      <alignment horizontal="center" vertical="top" wrapText="1"/>
    </xf>
    <xf numFmtId="0" fontId="11" fillId="2" borderId="65" xfId="0" applyFont="1" applyFill="1" applyBorder="1" applyAlignment="1">
      <alignment horizontal="center" vertical="top" wrapText="1"/>
    </xf>
    <xf numFmtId="0" fontId="11" fillId="10" borderId="55" xfId="0" applyFont="1" applyFill="1" applyBorder="1" applyAlignment="1">
      <alignment horizontal="center" vertical="top" wrapText="1"/>
    </xf>
    <xf numFmtId="0" fontId="2" fillId="10" borderId="64" xfId="0" applyFont="1" applyFill="1" applyBorder="1" applyAlignment="1">
      <alignment horizontal="center" vertical="top" wrapText="1"/>
    </xf>
    <xf numFmtId="0" fontId="11" fillId="16" borderId="55" xfId="0" applyFont="1" applyFill="1" applyBorder="1" applyAlignment="1">
      <alignment horizontal="center" vertical="top" wrapText="1"/>
    </xf>
    <xf numFmtId="0" fontId="11" fillId="16" borderId="64" xfId="0" applyFont="1" applyFill="1" applyBorder="1" applyAlignment="1">
      <alignment horizontal="center" vertical="top" wrapText="1"/>
    </xf>
    <xf numFmtId="0" fontId="11" fillId="16" borderId="65" xfId="0" applyFont="1" applyFill="1" applyBorder="1" applyAlignment="1">
      <alignment horizontal="center" vertical="top" wrapText="1"/>
    </xf>
    <xf numFmtId="10" fontId="11" fillId="2" borderId="38" xfId="2" applyNumberFormat="1" applyFont="1" applyFill="1" applyBorder="1" applyAlignment="1">
      <alignment horizontal="center" vertical="top" wrapText="1"/>
    </xf>
    <xf numFmtId="10" fontId="11" fillId="2" borderId="34" xfId="2" applyNumberFormat="1" applyFont="1" applyFill="1" applyBorder="1" applyAlignment="1">
      <alignment horizontal="center" vertical="top" wrapText="1"/>
    </xf>
    <xf numFmtId="10" fontId="11" fillId="2" borderId="48" xfId="2" applyNumberFormat="1" applyFont="1" applyFill="1" applyBorder="1" applyAlignment="1">
      <alignment horizontal="center" vertical="top" wrapText="1"/>
    </xf>
    <xf numFmtId="2" fontId="11" fillId="2" borderId="35" xfId="0" applyNumberFormat="1" applyFont="1" applyFill="1" applyBorder="1" applyAlignment="1">
      <alignment horizontal="center" vertical="center" wrapText="1"/>
    </xf>
    <xf numFmtId="2" fontId="11" fillId="2" borderId="36" xfId="0" applyNumberFormat="1" applyFont="1" applyFill="1" applyBorder="1" applyAlignment="1">
      <alignment horizontal="center" vertical="center" wrapText="1"/>
    </xf>
    <xf numFmtId="2" fontId="2" fillId="2" borderId="40" xfId="0" applyNumberFormat="1" applyFont="1" applyFill="1" applyBorder="1" applyAlignment="1">
      <alignment horizontal="center" vertical="top" wrapText="1"/>
    </xf>
    <xf numFmtId="2" fontId="2" fillId="2" borderId="41" xfId="0" applyNumberFormat="1" applyFont="1" applyFill="1" applyBorder="1" applyAlignment="1">
      <alignment horizontal="center" vertical="top" wrapText="1"/>
    </xf>
    <xf numFmtId="0" fontId="11" fillId="9" borderId="55" xfId="0" applyFont="1" applyFill="1" applyBorder="1" applyAlignment="1">
      <alignment horizontal="center" vertical="top" wrapText="1"/>
    </xf>
    <xf numFmtId="0" fontId="2" fillId="9" borderId="6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15" borderId="55" xfId="0" applyFont="1" applyFill="1" applyBorder="1" applyAlignment="1">
      <alignment horizontal="center" vertical="top" wrapText="1"/>
    </xf>
    <xf numFmtId="0" fontId="11" fillId="15" borderId="64" xfId="0" applyFont="1" applyFill="1" applyBorder="1" applyAlignment="1">
      <alignment horizontal="center" vertical="top" wrapText="1"/>
    </xf>
    <xf numFmtId="0" fontId="11" fillId="15" borderId="65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80" xfId="0" applyFont="1" applyFill="1" applyBorder="1" applyAlignment="1">
      <alignment horizontal="center" vertical="center" wrapText="1"/>
    </xf>
    <xf numFmtId="10" fontId="11" fillId="2" borderId="23" xfId="2" applyNumberFormat="1" applyFont="1" applyFill="1" applyBorder="1" applyAlignment="1">
      <alignment horizontal="center" vertical="top" wrapText="1"/>
    </xf>
    <xf numFmtId="10" fontId="11" fillId="2" borderId="85" xfId="2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75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 wrapText="1"/>
    </xf>
    <xf numFmtId="10" fontId="0" fillId="2" borderId="0" xfId="2" applyNumberFormat="1" applyFont="1" applyFill="1" applyBorder="1" applyAlignment="1">
      <alignment horizontal="center"/>
    </xf>
    <xf numFmtId="2" fontId="11" fillId="2" borderId="16" xfId="0" applyNumberFormat="1" applyFont="1" applyFill="1" applyBorder="1" applyAlignment="1">
      <alignment horizontal="center" vertical="top" wrapText="1"/>
    </xf>
    <xf numFmtId="10" fontId="11" fillId="2" borderId="86" xfId="2" applyNumberFormat="1" applyFont="1" applyFill="1" applyBorder="1" applyAlignment="1">
      <alignment horizontal="center" vertical="top" wrapText="1"/>
    </xf>
    <xf numFmtId="10" fontId="11" fillId="2" borderId="87" xfId="2" applyNumberFormat="1" applyFont="1" applyFill="1" applyBorder="1" applyAlignment="1">
      <alignment horizontal="center" vertical="top" wrapText="1"/>
    </xf>
    <xf numFmtId="10" fontId="11" fillId="2" borderId="88" xfId="2" applyNumberFormat="1" applyFont="1" applyFill="1" applyBorder="1" applyAlignment="1">
      <alignment horizontal="center" vertical="top" wrapText="1"/>
    </xf>
    <xf numFmtId="10" fontId="11" fillId="2" borderId="89" xfId="2" applyNumberFormat="1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10" fontId="11" fillId="2" borderId="43" xfId="2" applyNumberFormat="1" applyFont="1" applyFill="1" applyBorder="1" applyAlignment="1">
      <alignment horizontal="center" vertical="top" wrapText="1"/>
    </xf>
    <xf numFmtId="10" fontId="11" fillId="2" borderId="51" xfId="2" applyNumberFormat="1" applyFont="1" applyFill="1" applyBorder="1" applyAlignment="1">
      <alignment horizontal="center" vertical="top" wrapText="1"/>
    </xf>
    <xf numFmtId="10" fontId="11" fillId="2" borderId="47" xfId="2" applyNumberFormat="1" applyFont="1" applyFill="1" applyBorder="1" applyAlignment="1">
      <alignment horizontal="center" vertical="top" wrapText="1"/>
    </xf>
    <xf numFmtId="10" fontId="11" fillId="3" borderId="23" xfId="2" applyNumberFormat="1" applyFont="1" applyFill="1" applyBorder="1" applyAlignment="1">
      <alignment horizontal="center" vertical="top" wrapText="1"/>
    </xf>
    <xf numFmtId="10" fontId="11" fillId="3" borderId="85" xfId="2" applyNumberFormat="1" applyFont="1" applyFill="1" applyBorder="1" applyAlignment="1">
      <alignment horizontal="center" vertical="top" wrapText="1"/>
    </xf>
    <xf numFmtId="0" fontId="11" fillId="2" borderId="90" xfId="0" applyFont="1" applyFill="1" applyBorder="1" applyAlignment="1">
      <alignment horizontal="center" vertical="center" wrapText="1"/>
    </xf>
    <xf numFmtId="0" fontId="11" fillId="11" borderId="55" xfId="0" applyFont="1" applyFill="1" applyBorder="1" applyAlignment="1">
      <alignment horizontal="center" vertical="top" wrapText="1"/>
    </xf>
    <xf numFmtId="0" fontId="11" fillId="11" borderId="64" xfId="0" applyFont="1" applyFill="1" applyBorder="1" applyAlignment="1">
      <alignment horizontal="center" vertical="top" wrapText="1"/>
    </xf>
    <xf numFmtId="0" fontId="11" fillId="11" borderId="65" xfId="0" applyFont="1" applyFill="1" applyBorder="1" applyAlignment="1">
      <alignment horizontal="center" vertical="top" wrapText="1"/>
    </xf>
    <xf numFmtId="0" fontId="11" fillId="14" borderId="55" xfId="0" applyFont="1" applyFill="1" applyBorder="1" applyAlignment="1">
      <alignment horizontal="center" vertical="top" wrapText="1"/>
    </xf>
    <xf numFmtId="0" fontId="11" fillId="14" borderId="64" xfId="0" applyFont="1" applyFill="1" applyBorder="1" applyAlignment="1">
      <alignment horizontal="center" vertical="top" wrapText="1"/>
    </xf>
    <xf numFmtId="0" fontId="11" fillId="14" borderId="65" xfId="0" applyFont="1" applyFill="1" applyBorder="1" applyAlignment="1">
      <alignment horizontal="center" vertical="top" wrapText="1"/>
    </xf>
    <xf numFmtId="2" fontId="11" fillId="2" borderId="74" xfId="0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 wrapText="1"/>
    </xf>
    <xf numFmtId="9" fontId="11" fillId="2" borderId="85" xfId="2" applyFont="1" applyFill="1" applyBorder="1" applyAlignment="1">
      <alignment horizontal="center" vertical="top" wrapText="1"/>
    </xf>
    <xf numFmtId="9" fontId="11" fillId="3" borderId="55" xfId="0" applyNumberFormat="1" applyFont="1" applyFill="1" applyBorder="1" applyAlignment="1">
      <alignment horizontal="center" vertical="top" wrapText="1"/>
    </xf>
    <xf numFmtId="2" fontId="11" fillId="2" borderId="55" xfId="0" applyNumberFormat="1" applyFont="1" applyFill="1" applyBorder="1" applyAlignment="1">
      <alignment horizontal="center" vertical="center" wrapText="1"/>
    </xf>
    <xf numFmtId="2" fontId="11" fillId="2" borderId="64" xfId="0" applyNumberFormat="1" applyFont="1" applyFill="1" applyBorder="1" applyAlignment="1">
      <alignment horizontal="center" vertical="center" wrapText="1"/>
    </xf>
    <xf numFmtId="2" fontId="11" fillId="2" borderId="65" xfId="0" applyNumberFormat="1" applyFont="1" applyFill="1" applyBorder="1" applyAlignment="1">
      <alignment horizontal="center" vertical="center" wrapText="1"/>
    </xf>
    <xf numFmtId="0" fontId="11" fillId="12" borderId="55" xfId="0" applyFont="1" applyFill="1" applyBorder="1" applyAlignment="1">
      <alignment horizontal="center" vertical="top" wrapText="1"/>
    </xf>
    <xf numFmtId="0" fontId="11" fillId="12" borderId="64" xfId="0" applyFont="1" applyFill="1" applyBorder="1" applyAlignment="1">
      <alignment horizontal="center" vertical="top" wrapText="1"/>
    </xf>
    <xf numFmtId="0" fontId="11" fillId="12" borderId="65" xfId="0" applyFont="1" applyFill="1" applyBorder="1" applyAlignment="1">
      <alignment horizontal="center" vertical="top" wrapText="1"/>
    </xf>
    <xf numFmtId="10" fontId="11" fillId="3" borderId="33" xfId="2" applyNumberFormat="1" applyFont="1" applyFill="1" applyBorder="1" applyAlignment="1">
      <alignment horizontal="center" vertical="top" wrapText="1"/>
    </xf>
    <xf numFmtId="10" fontId="11" fillId="3" borderId="28" xfId="2" applyNumberFormat="1" applyFont="1" applyFill="1" applyBorder="1" applyAlignment="1">
      <alignment horizontal="center" vertical="top" wrapText="1"/>
    </xf>
    <xf numFmtId="10" fontId="11" fillId="3" borderId="86" xfId="2" applyNumberFormat="1" applyFont="1" applyFill="1" applyBorder="1" applyAlignment="1">
      <alignment horizontal="center" vertical="top" wrapText="1"/>
    </xf>
    <xf numFmtId="10" fontId="11" fillId="3" borderId="87" xfId="2" applyNumberFormat="1" applyFont="1" applyFill="1" applyBorder="1" applyAlignment="1">
      <alignment horizontal="center" vertical="top" wrapText="1"/>
    </xf>
    <xf numFmtId="10" fontId="11" fillId="2" borderId="35" xfId="2" applyNumberFormat="1" applyFont="1" applyFill="1" applyBorder="1" applyAlignment="1">
      <alignment horizontal="center" vertical="top" wrapText="1"/>
    </xf>
    <xf numFmtId="10" fontId="11" fillId="2" borderId="36" xfId="2" applyNumberFormat="1" applyFont="1" applyFill="1" applyBorder="1" applyAlignment="1">
      <alignment horizontal="center" vertical="top" wrapText="1"/>
    </xf>
    <xf numFmtId="10" fontId="11" fillId="2" borderId="82" xfId="2" applyNumberFormat="1" applyFont="1" applyFill="1" applyBorder="1" applyAlignment="1">
      <alignment horizontal="center" vertical="top" wrapText="1"/>
    </xf>
    <xf numFmtId="2" fontId="11" fillId="2" borderId="22" xfId="0" applyNumberFormat="1" applyFont="1" applyFill="1" applyBorder="1" applyAlignment="1">
      <alignment horizontal="center" vertical="top" wrapText="1"/>
    </xf>
    <xf numFmtId="2" fontId="11" fillId="2" borderId="23" xfId="0" applyNumberFormat="1" applyFont="1" applyFill="1" applyBorder="1" applyAlignment="1">
      <alignment horizontal="center" vertical="top" wrapText="1"/>
    </xf>
    <xf numFmtId="10" fontId="11" fillId="2" borderId="40" xfId="2" applyNumberFormat="1" applyFont="1" applyFill="1" applyBorder="1" applyAlignment="1">
      <alignment horizontal="center" vertical="top" wrapText="1"/>
    </xf>
    <xf numFmtId="10" fontId="11" fillId="2" borderId="41" xfId="2" applyNumberFormat="1" applyFont="1" applyFill="1" applyBorder="1" applyAlignment="1">
      <alignment horizontal="center" vertical="top" wrapText="1"/>
    </xf>
    <xf numFmtId="10" fontId="11" fillId="2" borderId="91" xfId="2" applyNumberFormat="1" applyFont="1" applyFill="1" applyBorder="1" applyAlignment="1">
      <alignment horizontal="center" vertical="top" wrapText="1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11" fillId="13" borderId="55" xfId="0" applyFont="1" applyFill="1" applyBorder="1" applyAlignment="1">
      <alignment horizontal="center" vertical="top" wrapText="1"/>
    </xf>
    <xf numFmtId="0" fontId="11" fillId="13" borderId="64" xfId="0" applyFont="1" applyFill="1" applyBorder="1" applyAlignment="1">
      <alignment horizontal="center" vertical="top" wrapText="1"/>
    </xf>
    <xf numFmtId="0" fontId="11" fillId="13" borderId="65" xfId="0" applyFont="1" applyFill="1" applyBorder="1" applyAlignment="1">
      <alignment horizontal="center" vertical="top" wrapText="1"/>
    </xf>
    <xf numFmtId="2" fontId="11" fillId="2" borderId="10" xfId="0" applyNumberFormat="1" applyFont="1" applyFill="1" applyBorder="1" applyAlignment="1">
      <alignment horizontal="center" vertical="center" wrapText="1"/>
    </xf>
    <xf numFmtId="2" fontId="11" fillId="2" borderId="11" xfId="0" applyNumberFormat="1" applyFont="1" applyFill="1" applyBorder="1" applyAlignment="1">
      <alignment horizontal="center" vertical="center" wrapText="1"/>
    </xf>
    <xf numFmtId="10" fontId="11" fillId="3" borderId="55" xfId="2" applyNumberFormat="1" applyFont="1" applyFill="1" applyBorder="1" applyAlignment="1">
      <alignment horizontal="center" vertical="top" wrapText="1"/>
    </xf>
    <xf numFmtId="10" fontId="11" fillId="3" borderId="64" xfId="2" applyNumberFormat="1" applyFont="1" applyFill="1" applyBorder="1" applyAlignment="1">
      <alignment horizontal="center" vertical="top" wrapText="1"/>
    </xf>
    <xf numFmtId="10" fontId="11" fillId="3" borderId="65" xfId="2" applyNumberFormat="1" applyFont="1" applyFill="1" applyBorder="1" applyAlignment="1">
      <alignment horizontal="center" vertical="top" wrapText="1"/>
    </xf>
    <xf numFmtId="10" fontId="11" fillId="3" borderId="56" xfId="2" applyNumberFormat="1" applyFont="1" applyFill="1" applyBorder="1" applyAlignment="1">
      <alignment horizontal="center" vertical="top" wrapText="1"/>
    </xf>
    <xf numFmtId="10" fontId="11" fillId="3" borderId="57" xfId="2" applyNumberFormat="1" applyFont="1" applyFill="1" applyBorder="1" applyAlignment="1">
      <alignment horizontal="center" vertical="top" wrapText="1"/>
    </xf>
    <xf numFmtId="10" fontId="11" fillId="3" borderId="92" xfId="2" applyNumberFormat="1" applyFont="1" applyFill="1" applyBorder="1" applyAlignment="1">
      <alignment horizontal="center" vertical="top" wrapText="1"/>
    </xf>
    <xf numFmtId="10" fontId="11" fillId="2" borderId="55" xfId="2" applyNumberFormat="1" applyFont="1" applyFill="1" applyBorder="1" applyAlignment="1">
      <alignment horizontal="center" vertical="top" wrapText="1"/>
    </xf>
    <xf numFmtId="10" fontId="11" fillId="2" borderId="64" xfId="2" applyNumberFormat="1" applyFont="1" applyFill="1" applyBorder="1" applyAlignment="1">
      <alignment horizontal="center" vertical="top" wrapText="1"/>
    </xf>
    <xf numFmtId="0" fontId="12" fillId="6" borderId="55" xfId="0" applyFont="1" applyFill="1" applyBorder="1" applyAlignment="1">
      <alignment horizontal="left" vertical="center" wrapText="1"/>
    </xf>
    <xf numFmtId="0" fontId="12" fillId="6" borderId="64" xfId="0" applyFont="1" applyFill="1" applyBorder="1" applyAlignment="1">
      <alignment horizontal="left" vertical="center" wrapText="1"/>
    </xf>
    <xf numFmtId="0" fontId="12" fillId="8" borderId="55" xfId="0" applyFont="1" applyFill="1" applyBorder="1" applyAlignment="1">
      <alignment horizontal="left" vertical="center" wrapText="1"/>
    </xf>
    <xf numFmtId="0" fontId="12" fillId="8" borderId="64" xfId="0" applyFont="1" applyFill="1" applyBorder="1" applyAlignment="1">
      <alignment horizontal="left" vertical="center" wrapText="1"/>
    </xf>
    <xf numFmtId="10" fontId="11" fillId="2" borderId="22" xfId="2" applyNumberFormat="1" applyFont="1" applyFill="1" applyBorder="1" applyAlignment="1">
      <alignment horizontal="center" vertical="top" wrapText="1"/>
    </xf>
    <xf numFmtId="10" fontId="11" fillId="2" borderId="83" xfId="2" applyNumberFormat="1" applyFont="1" applyFill="1" applyBorder="1" applyAlignment="1">
      <alignment horizontal="center" vertical="top" wrapText="1"/>
    </xf>
    <xf numFmtId="10" fontId="11" fillId="2" borderId="84" xfId="2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5" xfId="0" applyBorder="1" applyAlignment="1">
      <alignment horizontal="center"/>
    </xf>
    <xf numFmtId="2" fontId="2" fillId="2" borderId="67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9" xfId="0" applyBorder="1" applyAlignment="1">
      <alignment horizontal="center"/>
    </xf>
    <xf numFmtId="2" fontId="2" fillId="2" borderId="10" xfId="0" applyNumberFormat="1" applyFont="1" applyFill="1" applyBorder="1" applyAlignment="1">
      <alignment horizontal="center" vertical="top" wrapText="1"/>
    </xf>
    <xf numFmtId="2" fontId="2" fillId="2" borderId="11" xfId="0" applyNumberFormat="1" applyFont="1" applyFill="1" applyBorder="1" applyAlignment="1">
      <alignment horizontal="center" vertical="top" wrapText="1"/>
    </xf>
    <xf numFmtId="2" fontId="2" fillId="2" borderId="74" xfId="0" applyNumberFormat="1" applyFont="1" applyFill="1" applyBorder="1" applyAlignment="1">
      <alignment horizontal="center" vertical="top" wrapText="1"/>
    </xf>
    <xf numFmtId="2" fontId="2" fillId="2" borderId="0" xfId="0" applyNumberFormat="1" applyFont="1" applyFill="1" applyBorder="1" applyAlignment="1">
      <alignment horizontal="center" vertical="top" wrapText="1"/>
    </xf>
    <xf numFmtId="0" fontId="10" fillId="10" borderId="55" xfId="0" applyFont="1" applyFill="1" applyBorder="1" applyAlignment="1">
      <alignment horizontal="center"/>
    </xf>
    <xf numFmtId="0" fontId="10" fillId="10" borderId="64" xfId="0" applyFont="1" applyFill="1" applyBorder="1" applyAlignment="1">
      <alignment horizontal="center"/>
    </xf>
    <xf numFmtId="0" fontId="10" fillId="10" borderId="65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top" wrapText="1"/>
    </xf>
    <xf numFmtId="10" fontId="11" fillId="2" borderId="93" xfId="2" applyNumberFormat="1" applyFont="1" applyFill="1" applyBorder="1" applyAlignment="1">
      <alignment horizontal="center" vertical="top" wrapText="1"/>
    </xf>
    <xf numFmtId="10" fontId="11" fillId="2" borderId="21" xfId="2" applyNumberFormat="1" applyFont="1" applyFill="1" applyBorder="1" applyAlignment="1">
      <alignment horizontal="center" vertical="top" wrapText="1"/>
    </xf>
    <xf numFmtId="10" fontId="11" fillId="2" borderId="80" xfId="2" applyNumberFormat="1" applyFont="1" applyFill="1" applyBorder="1" applyAlignment="1">
      <alignment horizontal="center" vertical="top" wrapText="1"/>
    </xf>
    <xf numFmtId="10" fontId="11" fillId="2" borderId="90" xfId="2" applyNumberFormat="1" applyFont="1" applyFill="1" applyBorder="1" applyAlignment="1">
      <alignment horizontal="center" vertical="top" wrapText="1"/>
    </xf>
    <xf numFmtId="10" fontId="11" fillId="2" borderId="39" xfId="2" applyNumberFormat="1" applyFont="1" applyFill="1" applyBorder="1" applyAlignment="1">
      <alignment horizontal="center" vertical="top" wrapText="1"/>
    </xf>
    <xf numFmtId="2" fontId="11" fillId="3" borderId="55" xfId="0" applyNumberFormat="1" applyFont="1" applyFill="1" applyBorder="1" applyAlignment="1">
      <alignment horizontal="center" vertical="center" wrapText="1"/>
    </xf>
    <xf numFmtId="2" fontId="11" fillId="3" borderId="64" xfId="0" applyNumberFormat="1" applyFont="1" applyFill="1" applyBorder="1" applyAlignment="1">
      <alignment horizontal="center" vertical="center" wrapText="1"/>
    </xf>
    <xf numFmtId="2" fontId="11" fillId="3" borderId="65" xfId="0" applyNumberFormat="1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10" fontId="11" fillId="3" borderId="79" xfId="2" applyNumberFormat="1" applyFont="1" applyFill="1" applyBorder="1" applyAlignment="1">
      <alignment horizontal="center" vertical="top" wrapText="1"/>
    </xf>
    <xf numFmtId="0" fontId="11" fillId="3" borderId="55" xfId="0" applyFont="1" applyFill="1" applyBorder="1" applyAlignment="1">
      <alignment horizontal="center" vertical="center"/>
    </xf>
    <xf numFmtId="0" fontId="11" fillId="3" borderId="64" xfId="0" applyFont="1" applyFill="1" applyBorder="1" applyAlignment="1">
      <alignment horizontal="center" vertical="center"/>
    </xf>
    <xf numFmtId="0" fontId="11" fillId="3" borderId="65" xfId="0" applyFont="1" applyFill="1" applyBorder="1" applyAlignment="1">
      <alignment horizontal="center" vertical="center"/>
    </xf>
    <xf numFmtId="0" fontId="11" fillId="9" borderId="64" xfId="0" applyFont="1" applyFill="1" applyBorder="1" applyAlignment="1">
      <alignment horizontal="center" vertical="top" wrapText="1"/>
    </xf>
    <xf numFmtId="0" fontId="11" fillId="9" borderId="65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10" fontId="11" fillId="2" borderId="56" xfId="2" applyNumberFormat="1" applyFont="1" applyFill="1" applyBorder="1" applyAlignment="1">
      <alignment horizontal="center" vertical="top" wrapText="1"/>
    </xf>
    <xf numFmtId="10" fontId="11" fillId="2" borderId="57" xfId="2" applyNumberFormat="1" applyFont="1" applyFill="1" applyBorder="1" applyAlignment="1">
      <alignment horizontal="center" vertical="top" wrapText="1"/>
    </xf>
    <xf numFmtId="10" fontId="11" fillId="2" borderId="58" xfId="2" applyNumberFormat="1" applyFont="1" applyFill="1" applyBorder="1" applyAlignment="1">
      <alignment horizontal="center" vertical="top" wrapText="1"/>
    </xf>
    <xf numFmtId="2" fontId="0" fillId="0" borderId="3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1" fontId="0" fillId="0" borderId="51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" fontId="0" fillId="0" borderId="94" xfId="0" applyNumberForma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1" fontId="0" fillId="0" borderId="95" xfId="0" applyNumberFormat="1" applyBorder="1" applyAlignment="1">
      <alignment horizontal="center"/>
    </xf>
    <xf numFmtId="0" fontId="11" fillId="2" borderId="25" xfId="0" applyFont="1" applyFill="1" applyBorder="1" applyAlignment="1">
      <alignment horizontal="center" vertical="center" wrapText="1"/>
    </xf>
    <xf numFmtId="0" fontId="12" fillId="5" borderId="55" xfId="0" applyFont="1" applyFill="1" applyBorder="1" applyAlignment="1">
      <alignment horizontal="left" vertical="center" wrapText="1"/>
    </xf>
    <xf numFmtId="0" fontId="12" fillId="5" borderId="64" xfId="0" applyFont="1" applyFill="1" applyBorder="1" applyAlignment="1">
      <alignment horizontal="left" vertical="center" wrapText="1"/>
    </xf>
    <xf numFmtId="0" fontId="12" fillId="7" borderId="55" xfId="0" applyFont="1" applyFill="1" applyBorder="1" applyAlignment="1">
      <alignment horizontal="left" vertical="center" wrapText="1"/>
    </xf>
    <xf numFmtId="0" fontId="12" fillId="7" borderId="64" xfId="0" applyFont="1" applyFill="1" applyBorder="1" applyAlignment="1">
      <alignment horizontal="left" vertical="center" wrapText="1"/>
    </xf>
    <xf numFmtId="0" fontId="12" fillId="4" borderId="55" xfId="0" applyFont="1" applyFill="1" applyBorder="1" applyAlignment="1">
      <alignment horizontal="left" vertical="center" wrapText="1"/>
    </xf>
    <xf numFmtId="0" fontId="12" fillId="4" borderId="64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top" wrapText="1"/>
    </xf>
    <xf numFmtId="10" fontId="11" fillId="2" borderId="0" xfId="2" applyNumberFormat="1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9" fontId="11" fillId="2" borderId="43" xfId="2" applyNumberFormat="1" applyFont="1" applyFill="1" applyBorder="1" applyAlignment="1">
      <alignment horizontal="center" vertical="top" wrapText="1"/>
    </xf>
    <xf numFmtId="9" fontId="11" fillId="2" borderId="51" xfId="2" applyNumberFormat="1" applyFont="1" applyFill="1" applyBorder="1" applyAlignment="1">
      <alignment horizontal="center" vertical="top" wrapText="1"/>
    </xf>
    <xf numFmtId="9" fontId="11" fillId="2" borderId="47" xfId="2" applyNumberFormat="1" applyFont="1" applyFill="1" applyBorder="1" applyAlignment="1">
      <alignment horizontal="center" vertical="top" wrapText="1"/>
    </xf>
    <xf numFmtId="2" fontId="11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/>
    </xf>
    <xf numFmtId="9" fontId="11" fillId="3" borderId="33" xfId="2" applyNumberFormat="1" applyFont="1" applyFill="1" applyBorder="1" applyAlignment="1">
      <alignment horizontal="center" vertical="top" wrapText="1"/>
    </xf>
    <xf numFmtId="9" fontId="11" fillId="3" borderId="28" xfId="2" applyNumberFormat="1" applyFont="1" applyFill="1" applyBorder="1" applyAlignment="1">
      <alignment horizontal="center" vertical="top" wrapText="1"/>
    </xf>
    <xf numFmtId="9" fontId="11" fillId="3" borderId="79" xfId="2" applyNumberFormat="1" applyFont="1" applyFill="1" applyBorder="1" applyAlignment="1">
      <alignment horizontal="center" vertical="top" wrapText="1"/>
    </xf>
    <xf numFmtId="0" fontId="12" fillId="20" borderId="96" xfId="0" applyFont="1" applyFill="1" applyBorder="1" applyAlignment="1">
      <alignment horizontal="center" vertical="top" wrapText="1"/>
    </xf>
    <xf numFmtId="0" fontId="12" fillId="0" borderId="96" xfId="0" applyFont="1" applyFill="1" applyBorder="1" applyAlignment="1">
      <alignment horizontal="center" vertical="center" wrapText="1"/>
    </xf>
    <xf numFmtId="0" fontId="12" fillId="0" borderId="97" xfId="0" applyFont="1" applyFill="1" applyBorder="1" applyAlignment="1">
      <alignment horizontal="center" vertical="center" wrapText="1"/>
    </xf>
    <xf numFmtId="0" fontId="12" fillId="0" borderId="98" xfId="0" applyFont="1" applyFill="1" applyBorder="1" applyAlignment="1">
      <alignment horizontal="center" vertical="center" wrapText="1"/>
    </xf>
    <xf numFmtId="0" fontId="16" fillId="22" borderId="11" xfId="0" applyFont="1" applyFill="1" applyBorder="1" applyAlignment="1">
      <alignment horizontal="center" vertical="center" wrapText="1"/>
    </xf>
    <xf numFmtId="0" fontId="16" fillId="22" borderId="25" xfId="0" applyFont="1" applyFill="1" applyBorder="1" applyAlignment="1">
      <alignment horizontal="center" vertical="center" wrapText="1"/>
    </xf>
    <xf numFmtId="0" fontId="16" fillId="22" borderId="74" xfId="0" applyFont="1" applyFill="1" applyBorder="1" applyAlignment="1">
      <alignment horizontal="center" vertical="center" wrapText="1"/>
    </xf>
    <xf numFmtId="0" fontId="16" fillId="22" borderId="0" xfId="0" applyFont="1" applyFill="1" applyBorder="1" applyAlignment="1">
      <alignment horizontal="center" vertical="center" wrapText="1"/>
    </xf>
    <xf numFmtId="0" fontId="16" fillId="22" borderId="75" xfId="0" applyFont="1" applyFill="1" applyBorder="1" applyAlignment="1">
      <alignment horizontal="center" vertical="center" wrapText="1"/>
    </xf>
    <xf numFmtId="0" fontId="16" fillId="23" borderId="0" xfId="0" applyFont="1" applyFill="1" applyBorder="1" applyAlignment="1">
      <alignment horizontal="center" vertical="center" wrapText="1"/>
    </xf>
    <xf numFmtId="0" fontId="12" fillId="24" borderId="77" xfId="0" applyFont="1" applyFill="1" applyBorder="1" applyAlignment="1">
      <alignment horizontal="center" vertical="center" wrapText="1"/>
    </xf>
    <xf numFmtId="2" fontId="12" fillId="24" borderId="77" xfId="0" applyNumberFormat="1" applyFont="1" applyFill="1" applyBorder="1" applyAlignment="1">
      <alignment horizontal="center" vertical="center" wrapText="1"/>
    </xf>
    <xf numFmtId="0" fontId="12" fillId="17" borderId="99" xfId="0" applyFont="1" applyFill="1" applyBorder="1" applyAlignment="1">
      <alignment horizontal="center" vertical="center" wrapText="1"/>
    </xf>
    <xf numFmtId="0" fontId="12" fillId="25" borderId="7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 wrapText="1"/>
    </xf>
    <xf numFmtId="0" fontId="12" fillId="20" borderId="77" xfId="0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top" wrapText="1"/>
    </xf>
    <xf numFmtId="0" fontId="12" fillId="0" borderId="96" xfId="0" applyFont="1" applyFill="1" applyBorder="1" applyAlignment="1">
      <alignment horizontal="center" vertical="top" wrapText="1"/>
    </xf>
    <xf numFmtId="10" fontId="14" fillId="21" borderId="77" xfId="2" applyNumberFormat="1" applyFont="1" applyFill="1" applyBorder="1" applyAlignment="1" applyProtection="1">
      <alignment horizontal="center" vertical="top" wrapText="1"/>
    </xf>
    <xf numFmtId="10" fontId="14" fillId="21" borderId="96" xfId="2" applyNumberFormat="1" applyFont="1" applyFill="1" applyBorder="1" applyAlignment="1" applyProtection="1">
      <alignment horizontal="center" vertical="top" wrapText="1"/>
    </xf>
    <xf numFmtId="0" fontId="12" fillId="25" borderId="96" xfId="0" applyFont="1" applyFill="1" applyBorder="1" applyAlignment="1">
      <alignment horizontal="center" vertical="center"/>
    </xf>
    <xf numFmtId="2" fontId="12" fillId="25" borderId="100" xfId="0" applyNumberFormat="1" applyFont="1" applyFill="1" applyBorder="1" applyAlignment="1">
      <alignment horizontal="center" vertical="top" wrapText="1"/>
    </xf>
    <xf numFmtId="2" fontId="12" fillId="25" borderId="101" xfId="0" applyNumberFormat="1" applyFont="1" applyFill="1" applyBorder="1" applyAlignment="1">
      <alignment horizontal="center" vertical="top" wrapText="1"/>
    </xf>
    <xf numFmtId="2" fontId="12" fillId="25" borderId="102" xfId="0" applyNumberFormat="1" applyFont="1" applyFill="1" applyBorder="1" applyAlignment="1">
      <alignment horizontal="center" vertical="top" wrapText="1"/>
    </xf>
    <xf numFmtId="0" fontId="12" fillId="24" borderId="96" xfId="0" applyFont="1" applyFill="1" applyBorder="1" applyAlignment="1">
      <alignment horizontal="center" vertical="center" wrapText="1"/>
    </xf>
    <xf numFmtId="2" fontId="12" fillId="24" borderId="103" xfId="0" applyNumberFormat="1" applyFont="1" applyFill="1" applyBorder="1" applyAlignment="1">
      <alignment horizontal="center" vertical="center" wrapText="1"/>
    </xf>
    <xf numFmtId="2" fontId="12" fillId="24" borderId="10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2" fillId="17" borderId="105" xfId="0" applyFont="1" applyFill="1" applyBorder="1" applyAlignment="1">
      <alignment horizontal="center" vertical="center" wrapText="1"/>
    </xf>
    <xf numFmtId="2" fontId="12" fillId="17" borderId="106" xfId="0" applyNumberFormat="1" applyFont="1" applyFill="1" applyBorder="1" applyAlignment="1">
      <alignment horizontal="center" vertical="center" wrapText="1"/>
    </xf>
    <xf numFmtId="2" fontId="12" fillId="17" borderId="107" xfId="0" applyNumberFormat="1" applyFont="1" applyFill="1" applyBorder="1" applyAlignment="1">
      <alignment horizontal="center" vertical="center" wrapText="1"/>
    </xf>
    <xf numFmtId="2" fontId="12" fillId="17" borderId="108" xfId="0" applyNumberFormat="1" applyFont="1" applyFill="1" applyBorder="1" applyAlignment="1">
      <alignment horizontal="center" vertical="center" wrapText="1"/>
    </xf>
    <xf numFmtId="0" fontId="10" fillId="0" borderId="55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79" xfId="0" applyFont="1" applyFill="1" applyBorder="1" applyAlignment="1">
      <alignment horizontal="center"/>
    </xf>
    <xf numFmtId="0" fontId="14" fillId="17" borderId="109" xfId="0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10" xfId="0" applyBorder="1"/>
    <xf numFmtId="0" fontId="19" fillId="17" borderId="74" xfId="0" applyFont="1" applyFill="1" applyBorder="1" applyAlignment="1">
      <alignment horizontal="left" vertical="top" wrapText="1"/>
    </xf>
    <xf numFmtId="0" fontId="19" fillId="17" borderId="0" xfId="0" applyFont="1" applyFill="1" applyBorder="1" applyAlignment="1">
      <alignment horizontal="left" vertical="top" wrapText="1"/>
    </xf>
    <xf numFmtId="0" fontId="16" fillId="0" borderId="77" xfId="0" applyFont="1" applyFill="1" applyBorder="1" applyAlignment="1">
      <alignment horizontal="center" vertical="top" wrapText="1"/>
    </xf>
    <xf numFmtId="0" fontId="16" fillId="0" borderId="96" xfId="0" applyFont="1" applyFill="1" applyBorder="1" applyAlignment="1">
      <alignment horizontal="center" vertical="top" wrapText="1"/>
    </xf>
    <xf numFmtId="0" fontId="21" fillId="2" borderId="55" xfId="0" applyFont="1" applyFill="1" applyBorder="1" applyAlignment="1">
      <alignment horizontal="center"/>
    </xf>
    <xf numFmtId="0" fontId="21" fillId="2" borderId="19" xfId="0" applyFont="1" applyFill="1" applyBorder="1" applyAlignment="1">
      <alignment horizontal="center"/>
    </xf>
    <xf numFmtId="0" fontId="16" fillId="20" borderId="96" xfId="0" applyFont="1" applyFill="1" applyBorder="1" applyAlignment="1">
      <alignment horizontal="center" vertical="top" wrapText="1"/>
    </xf>
    <xf numFmtId="2" fontId="16" fillId="18" borderId="77" xfId="0" applyNumberFormat="1" applyFont="1" applyFill="1" applyBorder="1" applyAlignment="1">
      <alignment horizontal="center" vertical="center" wrapText="1"/>
    </xf>
    <xf numFmtId="10" fontId="16" fillId="21" borderId="77" xfId="2" applyNumberFormat="1" applyFont="1" applyFill="1" applyBorder="1" applyAlignment="1" applyProtection="1">
      <alignment horizontal="center" vertical="top" wrapText="1"/>
    </xf>
    <xf numFmtId="10" fontId="16" fillId="21" borderId="96" xfId="2" applyNumberFormat="1" applyFont="1" applyFill="1" applyBorder="1" applyAlignment="1" applyProtection="1">
      <alignment horizontal="center" vertical="top" wrapText="1"/>
    </xf>
    <xf numFmtId="166" fontId="22" fillId="2" borderId="55" xfId="0" applyNumberFormat="1" applyFont="1" applyFill="1" applyBorder="1"/>
    <xf numFmtId="166" fontId="22" fillId="2" borderId="19" xfId="0" applyNumberFormat="1" applyFont="1" applyFill="1" applyBorder="1"/>
    <xf numFmtId="0" fontId="22" fillId="2" borderId="0" xfId="0" applyFont="1" applyFill="1" applyBorder="1"/>
    <xf numFmtId="166" fontId="22" fillId="2" borderId="0" xfId="0" applyNumberFormat="1" applyFont="1" applyFill="1" applyBorder="1"/>
    <xf numFmtId="0" fontId="22" fillId="0" borderId="110" xfId="0" applyFont="1" applyBorder="1"/>
    <xf numFmtId="0" fontId="19" fillId="0" borderId="74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6" fillId="20" borderId="77" xfId="0" applyFont="1" applyFill="1" applyBorder="1" applyAlignment="1">
      <alignment horizontal="center" vertical="center" wrapText="1"/>
    </xf>
    <xf numFmtId="2" fontId="16" fillId="18" borderId="78" xfId="0" applyNumberFormat="1" applyFont="1" applyFill="1" applyBorder="1" applyAlignment="1">
      <alignment horizontal="center" vertical="top" wrapText="1"/>
    </xf>
    <xf numFmtId="0" fontId="16" fillId="25" borderId="77" xfId="0" applyFont="1" applyFill="1" applyBorder="1" applyAlignment="1">
      <alignment horizontal="center" vertical="center"/>
    </xf>
    <xf numFmtId="2" fontId="16" fillId="25" borderId="77" xfId="0" applyNumberFormat="1" applyFont="1" applyFill="1" applyBorder="1" applyAlignment="1">
      <alignment horizontal="center" vertical="top" wrapText="1"/>
    </xf>
    <xf numFmtId="0" fontId="16" fillId="24" borderId="77" xfId="0" applyFont="1" applyFill="1" applyBorder="1" applyAlignment="1">
      <alignment horizontal="center" vertical="center" wrapText="1"/>
    </xf>
    <xf numFmtId="2" fontId="16" fillId="24" borderId="77" xfId="0" applyNumberFormat="1" applyFont="1" applyFill="1" applyBorder="1" applyAlignment="1">
      <alignment horizontal="center" vertical="center" wrapText="1"/>
    </xf>
    <xf numFmtId="0" fontId="16" fillId="17" borderId="99" xfId="0" applyFont="1" applyFill="1" applyBorder="1" applyAlignment="1">
      <alignment horizontal="center" vertical="center" wrapText="1"/>
    </xf>
    <xf numFmtId="2" fontId="16" fillId="17" borderId="99" xfId="0" applyNumberFormat="1" applyFont="1" applyFill="1" applyBorder="1" applyAlignment="1">
      <alignment horizontal="center" vertical="center" wrapText="1"/>
    </xf>
    <xf numFmtId="0" fontId="22" fillId="0" borderId="74" xfId="0" applyFont="1" applyBorder="1"/>
    <xf numFmtId="0" fontId="22" fillId="0" borderId="0" xfId="0" applyFont="1" applyBorder="1"/>
    <xf numFmtId="0" fontId="21" fillId="2" borderId="55" xfId="0" applyFont="1" applyFill="1" applyBorder="1" applyAlignment="1">
      <alignment horizontal="center"/>
    </xf>
    <xf numFmtId="0" fontId="21" fillId="2" borderId="64" xfId="0" applyFont="1" applyFill="1" applyBorder="1" applyAlignment="1">
      <alignment horizontal="center"/>
    </xf>
    <xf numFmtId="0" fontId="21" fillId="2" borderId="65" xfId="0" applyFont="1" applyFill="1" applyBorder="1" applyAlignment="1">
      <alignment horizontal="center"/>
    </xf>
    <xf numFmtId="0" fontId="16" fillId="0" borderId="96" xfId="0" applyFont="1" applyFill="1" applyBorder="1" applyAlignment="1">
      <alignment horizontal="center" vertical="center" wrapText="1"/>
    </xf>
    <xf numFmtId="0" fontId="16" fillId="0" borderId="97" xfId="0" applyFont="1" applyFill="1" applyBorder="1" applyAlignment="1">
      <alignment horizontal="center" vertical="center" wrapText="1"/>
    </xf>
    <xf numFmtId="0" fontId="16" fillId="0" borderId="98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/>
    </xf>
    <xf numFmtId="0" fontId="22" fillId="0" borderId="33" xfId="0" applyFont="1" applyBorder="1"/>
    <xf numFmtId="0" fontId="22" fillId="0" borderId="28" xfId="0" applyFont="1" applyBorder="1"/>
    <xf numFmtId="7" fontId="21" fillId="0" borderId="19" xfId="1" applyNumberFormat="1" applyFont="1" applyBorder="1"/>
    <xf numFmtId="166" fontId="21" fillId="2" borderId="55" xfId="1" applyNumberFormat="1" applyFont="1" applyFill="1" applyBorder="1"/>
    <xf numFmtId="166" fontId="21" fillId="2" borderId="33" xfId="0" applyNumberFormat="1" applyFont="1" applyFill="1" applyBorder="1"/>
    <xf numFmtId="166" fontId="21" fillId="2" borderId="32" xfId="0" applyNumberFormat="1" applyFont="1" applyFill="1" applyBorder="1"/>
    <xf numFmtId="0" fontId="22" fillId="2" borderId="11" xfId="0" applyFont="1" applyFill="1" applyBorder="1" applyAlignment="1"/>
    <xf numFmtId="0" fontId="22" fillId="2" borderId="0" xfId="0" applyFont="1" applyFill="1" applyBorder="1" applyAlignment="1"/>
    <xf numFmtId="0" fontId="22" fillId="2" borderId="75" xfId="0" applyFont="1" applyFill="1" applyBorder="1" applyAlignment="1"/>
    <xf numFmtId="0" fontId="22" fillId="2" borderId="28" xfId="0" applyFont="1" applyFill="1" applyBorder="1" applyAlignment="1"/>
    <xf numFmtId="0" fontId="22" fillId="2" borderId="79" xfId="0" applyFont="1" applyFill="1" applyBorder="1" applyAlignment="1"/>
    <xf numFmtId="166" fontId="22" fillId="2" borderId="25" xfId="0" applyNumberFormat="1" applyFont="1" applyFill="1" applyBorder="1" applyAlignment="1"/>
    <xf numFmtId="166" fontId="22" fillId="2" borderId="0" xfId="1" applyNumberFormat="1" applyFont="1" applyFill="1" applyBorder="1"/>
    <xf numFmtId="0" fontId="19" fillId="26" borderId="0" xfId="0" applyFont="1" applyFill="1" applyBorder="1" applyAlignment="1">
      <alignment vertical="top" wrapText="1"/>
    </xf>
    <xf numFmtId="0" fontId="21" fillId="2" borderId="111" xfId="0" applyFont="1" applyFill="1" applyBorder="1" applyAlignment="1">
      <alignment horizontal="center"/>
    </xf>
    <xf numFmtId="0" fontId="21" fillId="2" borderId="112" xfId="0" applyFont="1" applyFill="1" applyBorder="1" applyAlignment="1">
      <alignment horizontal="center"/>
    </xf>
    <xf numFmtId="0" fontId="21" fillId="2" borderId="113" xfId="0" applyFont="1" applyFill="1" applyBorder="1" applyAlignment="1">
      <alignment horizontal="center"/>
    </xf>
    <xf numFmtId="2" fontId="16" fillId="17" borderId="114" xfId="0" applyNumberFormat="1" applyFont="1" applyFill="1" applyBorder="1" applyAlignment="1">
      <alignment vertical="center" wrapText="1"/>
    </xf>
    <xf numFmtId="2" fontId="16" fillId="17" borderId="55" xfId="0" applyNumberFormat="1" applyFont="1" applyFill="1" applyBorder="1" applyAlignment="1">
      <alignment horizontal="center" vertical="center" wrapText="1"/>
    </xf>
    <xf numFmtId="2" fontId="16" fillId="17" borderId="64" xfId="0" applyNumberFormat="1" applyFont="1" applyFill="1" applyBorder="1" applyAlignment="1">
      <alignment horizontal="center" vertical="center" wrapText="1"/>
    </xf>
    <xf numFmtId="2" fontId="16" fillId="17" borderId="65" xfId="0" applyNumberFormat="1" applyFont="1" applyFill="1" applyBorder="1" applyAlignment="1">
      <alignment horizontal="center" vertical="center" wrapText="1"/>
    </xf>
    <xf numFmtId="10" fontId="16" fillId="21" borderId="97" xfId="2" applyNumberFormat="1" applyFont="1" applyFill="1" applyBorder="1" applyAlignment="1" applyProtection="1">
      <alignment horizontal="center" vertical="top" wrapText="1"/>
    </xf>
    <xf numFmtId="0" fontId="16" fillId="0" borderId="115" xfId="0" applyFont="1" applyFill="1" applyBorder="1" applyAlignment="1">
      <alignment horizontal="center" vertical="top" wrapText="1"/>
    </xf>
    <xf numFmtId="0" fontId="16" fillId="0" borderId="116" xfId="0" applyFont="1" applyFill="1" applyBorder="1" applyAlignment="1">
      <alignment horizontal="center" vertical="top" wrapText="1"/>
    </xf>
    <xf numFmtId="0" fontId="16" fillId="0" borderId="117" xfId="0" applyFont="1" applyFill="1" applyBorder="1" applyAlignment="1">
      <alignment horizontal="center" vertical="top" wrapText="1"/>
    </xf>
    <xf numFmtId="0" fontId="21" fillId="0" borderId="19" xfId="0" applyFont="1" applyBorder="1"/>
    <xf numFmtId="0" fontId="21" fillId="0" borderId="50" xfId="0" applyFont="1" applyBorder="1"/>
    <xf numFmtId="166" fontId="22" fillId="2" borderId="19" xfId="0" applyNumberFormat="1" applyFont="1" applyFill="1" applyBorder="1" applyAlignment="1">
      <alignment horizontal="center"/>
    </xf>
    <xf numFmtId="0" fontId="16" fillId="20" borderId="105" xfId="0" applyFont="1" applyFill="1" applyBorder="1" applyAlignment="1">
      <alignment horizontal="center" vertical="top" wrapText="1"/>
    </xf>
    <xf numFmtId="2" fontId="16" fillId="18" borderId="99" xfId="0" applyNumberFormat="1" applyFont="1" applyFill="1" applyBorder="1" applyAlignment="1">
      <alignment horizontal="center" vertical="center" wrapText="1"/>
    </xf>
    <xf numFmtId="10" fontId="16" fillId="21" borderId="99" xfId="2" applyNumberFormat="1" applyFont="1" applyFill="1" applyBorder="1" applyAlignment="1" applyProtection="1">
      <alignment horizontal="center" vertical="top" wrapText="1"/>
    </xf>
    <xf numFmtId="10" fontId="16" fillId="21" borderId="105" xfId="2" applyNumberFormat="1" applyFont="1" applyFill="1" applyBorder="1" applyAlignment="1" applyProtection="1">
      <alignment horizontal="center" vertical="top" wrapText="1"/>
    </xf>
    <xf numFmtId="166" fontId="22" fillId="2" borderId="10" xfId="0" applyNumberFormat="1" applyFont="1" applyFill="1" applyBorder="1"/>
    <xf numFmtId="166" fontId="22" fillId="2" borderId="20" xfId="0" applyNumberFormat="1" applyFont="1" applyFill="1" applyBorder="1"/>
    <xf numFmtId="166" fontId="21" fillId="2" borderId="55" xfId="0" applyNumberFormat="1" applyFont="1" applyFill="1" applyBorder="1"/>
    <xf numFmtId="166" fontId="21" fillId="2" borderId="19" xfId="0" applyNumberFormat="1" applyFont="1" applyFill="1" applyBorder="1"/>
    <xf numFmtId="0" fontId="21" fillId="0" borderId="19" xfId="0" applyFont="1" applyFill="1" applyBorder="1" applyAlignment="1">
      <alignment horizontal="center" vertical="center"/>
    </xf>
    <xf numFmtId="10" fontId="22" fillId="0" borderId="19" xfId="2" applyNumberFormat="1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10" fontId="22" fillId="0" borderId="20" xfId="2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wrapText="1"/>
    </xf>
    <xf numFmtId="10" fontId="22" fillId="19" borderId="65" xfId="2" applyNumberFormat="1" applyFont="1" applyFill="1" applyBorder="1" applyAlignment="1">
      <alignment horizontal="center" vertical="center"/>
    </xf>
    <xf numFmtId="10" fontId="22" fillId="19" borderId="25" xfId="2" applyNumberFormat="1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wrapText="1"/>
    </xf>
    <xf numFmtId="166" fontId="22" fillId="0" borderId="19" xfId="0" applyNumberFormat="1" applyFont="1" applyBorder="1"/>
    <xf numFmtId="166" fontId="22" fillId="0" borderId="110" xfId="0" applyNumberFormat="1" applyFont="1" applyBorder="1"/>
    <xf numFmtId="10" fontId="16" fillId="21" borderId="115" xfId="2" applyNumberFormat="1" applyFont="1" applyFill="1" applyBorder="1" applyAlignment="1" applyProtection="1">
      <alignment horizontal="center" vertical="top" wrapText="1"/>
    </xf>
    <xf numFmtId="10" fontId="16" fillId="21" borderId="116" xfId="2" applyNumberFormat="1" applyFont="1" applyFill="1" applyBorder="1" applyAlignment="1" applyProtection="1">
      <alignment horizontal="center" vertical="top" wrapText="1"/>
    </xf>
    <xf numFmtId="10" fontId="16" fillId="21" borderId="117" xfId="2" applyNumberFormat="1" applyFont="1" applyFill="1" applyBorder="1" applyAlignment="1" applyProtection="1">
      <alignment horizontal="center" vertical="top" wrapText="1"/>
    </xf>
    <xf numFmtId="0" fontId="16" fillId="20" borderId="55" xfId="0" applyFont="1" applyFill="1" applyBorder="1" applyAlignment="1">
      <alignment horizontal="center" vertical="top" wrapText="1"/>
    </xf>
    <xf numFmtId="0" fontId="16" fillId="20" borderId="118" xfId="0" applyFont="1" applyFill="1" applyBorder="1" applyAlignment="1">
      <alignment horizontal="center" vertical="top" wrapText="1"/>
    </xf>
    <xf numFmtId="0" fontId="16" fillId="20" borderId="117" xfId="0" applyFont="1" applyFill="1" applyBorder="1" applyAlignment="1">
      <alignment horizontal="center" vertical="top" wrapText="1"/>
    </xf>
    <xf numFmtId="0" fontId="16" fillId="20" borderId="115" xfId="0" applyFont="1" applyFill="1" applyBorder="1" applyAlignment="1">
      <alignment horizontal="center" vertical="center" wrapText="1"/>
    </xf>
    <xf numFmtId="0" fontId="16" fillId="20" borderId="116" xfId="0" applyFont="1" applyFill="1" applyBorder="1" applyAlignment="1">
      <alignment horizontal="center" vertical="center" wrapText="1"/>
    </xf>
    <xf numFmtId="0" fontId="16" fillId="20" borderId="117" xfId="0" applyFont="1" applyFill="1" applyBorder="1" applyAlignment="1">
      <alignment horizontal="center" vertical="center" wrapText="1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theme" Target="theme/theme1.xml"/><Relationship Id="rId5" Type="http://schemas.openxmlformats.org/officeDocument/2006/relationships/chartsheet" Target="chartsheets/sheet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Percentual de Aluno Equivalente, Eficiencia qualidade Acadêmico-Científica e Participação no rateio de OCC da UNIR  por Campus - ANO 2014</a:t>
            </a:r>
          </a:p>
        </c:rich>
      </c:tx>
      <c:layout>
        <c:manualLayout>
          <c:xMode val="edge"/>
          <c:yMode val="edge"/>
          <c:x val="0.10312499999999999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7"/>
      <c:rotY val="20"/>
      <c:depthPercent val="1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CACACA" mc:Ignorable="a14" a14:legacySpreadsheetColorIndex="65">
                <a:gamma/>
                <a:shade val="79216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65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CACACA" mc:Ignorable="a14" a14:legacySpreadsheetColorIndex="65">
                <a:gamma/>
                <a:shade val="79216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65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6666666666666666E-2"/>
          <c:y val="0.14043993231810489"/>
          <c:w val="0.84895833333333337"/>
          <c:h val="0.763113367174280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'Q. SÍNTESE COM FATOR DE COR.'!$A$56</c:f>
              <c:strCache>
                <c:ptCount val="1"/>
                <c:pt idx="0">
                  <c:v>%TAEu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cat>
            <c:strRef>
              <c:f>'Q. SÍNTESE COM FATOR DE COR.'!$B$55:$I$55</c:f>
              <c:strCache>
                <c:ptCount val="8"/>
                <c:pt idx="0">
                  <c:v>CACOAL</c:v>
                </c:pt>
                <c:pt idx="1">
                  <c:v>GUAJARÁ-MIRIM</c:v>
                </c:pt>
                <c:pt idx="2">
                  <c:v>JÍ-PARANÁ</c:v>
                </c:pt>
                <c:pt idx="3">
                  <c:v>ROLIM DE MOURA</c:v>
                </c:pt>
                <c:pt idx="4">
                  <c:v>VILHENA</c:v>
                </c:pt>
                <c:pt idx="5">
                  <c:v>ARIQUEMES</c:v>
                </c:pt>
                <c:pt idx="6">
                  <c:v>PRESIDENTE MÉDICE</c:v>
                </c:pt>
                <c:pt idx="7">
                  <c:v>PORTO VELHO</c:v>
                </c:pt>
              </c:strCache>
            </c:strRef>
          </c:cat>
          <c:val>
            <c:numRef>
              <c:f>'Q. SÍNTESE COM FATOR DE COR.'!$B$56:$I$56</c:f>
              <c:numCache>
                <c:formatCode>0.00%</c:formatCode>
                <c:ptCount val="8"/>
                <c:pt idx="0">
                  <c:v>9.5614480123799167E-2</c:v>
                </c:pt>
                <c:pt idx="1">
                  <c:v>6.2469756335387878E-2</c:v>
                </c:pt>
                <c:pt idx="2">
                  <c:v>0.10291953011380785</c:v>
                </c:pt>
                <c:pt idx="3">
                  <c:v>0.14043072327381134</c:v>
                </c:pt>
                <c:pt idx="4">
                  <c:v>6.5661391031340402E-2</c:v>
                </c:pt>
                <c:pt idx="5">
                  <c:v>3.4250295297179566E-2</c:v>
                </c:pt>
                <c:pt idx="6">
                  <c:v>2.888035440078382E-2</c:v>
                </c:pt>
                <c:pt idx="7">
                  <c:v>0.46977346942388992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'Q. SÍNTESE COM FATOR DE COR.'!$A$57</c:f>
              <c:strCache>
                <c:ptCount val="1"/>
                <c:pt idx="0">
                  <c:v>%EQR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cat>
            <c:strRef>
              <c:f>'Q. SÍNTESE COM FATOR DE COR.'!$B$55:$I$55</c:f>
              <c:strCache>
                <c:ptCount val="8"/>
                <c:pt idx="0">
                  <c:v>CACOAL</c:v>
                </c:pt>
                <c:pt idx="1">
                  <c:v>GUAJARÁ-MIRIM</c:v>
                </c:pt>
                <c:pt idx="2">
                  <c:v>JÍ-PARANÁ</c:v>
                </c:pt>
                <c:pt idx="3">
                  <c:v>ROLIM DE MOURA</c:v>
                </c:pt>
                <c:pt idx="4">
                  <c:v>VILHENA</c:v>
                </c:pt>
                <c:pt idx="5">
                  <c:v>ARIQUEMES</c:v>
                </c:pt>
                <c:pt idx="6">
                  <c:v>PRESIDENTE MÉDICE</c:v>
                </c:pt>
                <c:pt idx="7">
                  <c:v>PORTO VELHO</c:v>
                </c:pt>
              </c:strCache>
            </c:strRef>
          </c:cat>
          <c:val>
            <c:numRef>
              <c:f>'Q. SÍNTESE COM FATOR DE COR.'!$B$57:$I$57</c:f>
              <c:numCache>
                <c:formatCode>0.00%</c:formatCode>
                <c:ptCount val="8"/>
                <c:pt idx="0">
                  <c:v>0.11753673200626809</c:v>
                </c:pt>
                <c:pt idx="1">
                  <c:v>0.15540950010747867</c:v>
                </c:pt>
                <c:pt idx="2">
                  <c:v>0.11249723515910059</c:v>
                </c:pt>
                <c:pt idx="3">
                  <c:v>0.14504902622408389</c:v>
                </c:pt>
                <c:pt idx="4">
                  <c:v>0.10393310554064605</c:v>
                </c:pt>
                <c:pt idx="5">
                  <c:v>0.10016326372154166</c:v>
                </c:pt>
                <c:pt idx="6">
                  <c:v>0.11552099472087604</c:v>
                </c:pt>
                <c:pt idx="7">
                  <c:v>0.14989014252000504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'Q. SÍNTESE COM FATOR DE COR.'!$A$58</c:f>
              <c:strCache>
                <c:ptCount val="1"/>
                <c:pt idx="0">
                  <c:v>%PART</c:v>
                </c:pt>
              </c:strCache>
            </c:strRef>
          </c:tx>
          <c:spPr>
            <a:solidFill>
              <a:srgbClr val="FFFFCC"/>
            </a:solidFill>
            <a:ln w="25400">
              <a:noFill/>
            </a:ln>
          </c:spPr>
          <c:invertIfNegative val="0"/>
          <c:cat>
            <c:strRef>
              <c:f>'Q. SÍNTESE COM FATOR DE COR.'!$B$55:$I$55</c:f>
              <c:strCache>
                <c:ptCount val="8"/>
                <c:pt idx="0">
                  <c:v>CACOAL</c:v>
                </c:pt>
                <c:pt idx="1">
                  <c:v>GUAJARÁ-MIRIM</c:v>
                </c:pt>
                <c:pt idx="2">
                  <c:v>JÍ-PARANÁ</c:v>
                </c:pt>
                <c:pt idx="3">
                  <c:v>ROLIM DE MOURA</c:v>
                </c:pt>
                <c:pt idx="4">
                  <c:v>VILHENA</c:v>
                </c:pt>
                <c:pt idx="5">
                  <c:v>ARIQUEMES</c:v>
                </c:pt>
                <c:pt idx="6">
                  <c:v>PRESIDENTE MÉDICE</c:v>
                </c:pt>
                <c:pt idx="7">
                  <c:v>PORTO VELHO</c:v>
                </c:pt>
              </c:strCache>
            </c:strRef>
          </c:cat>
          <c:val>
            <c:numRef>
              <c:f>'Q. SÍNTESE COM FATOR DE COR.'!$B$58:$I$58</c:f>
              <c:numCache>
                <c:formatCode>0.00%</c:formatCode>
                <c:ptCount val="8"/>
                <c:pt idx="0">
                  <c:v>9.999893050029296E-2</c:v>
                </c:pt>
                <c:pt idx="1">
                  <c:v>8.1057705089806045E-2</c:v>
                </c:pt>
                <c:pt idx="2">
                  <c:v>0.1048350711228664</c:v>
                </c:pt>
                <c:pt idx="3">
                  <c:v>0.14135438386386584</c:v>
                </c:pt>
                <c:pt idx="4">
                  <c:v>7.3315733933201538E-2</c:v>
                </c:pt>
                <c:pt idx="5">
                  <c:v>4.7432888982051988E-2</c:v>
                </c:pt>
                <c:pt idx="6">
                  <c:v>4.6208482464802268E-2</c:v>
                </c:pt>
                <c:pt idx="7">
                  <c:v>0.40579680404311297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60"/>
        <c:shape val="box"/>
        <c:axId val="162486144"/>
        <c:axId val="162487680"/>
        <c:axId val="0"/>
      </c:bar3DChart>
      <c:catAx>
        <c:axId val="16248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6248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487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62486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708333333333337"/>
          <c:y val="0.50930626057529615"/>
          <c:w val="6.8750000000000006E-2"/>
          <c:h val="0.108291032148900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Percentual de Aluno Equivalente, Eficiencia na Qualidade Acadêmico-Científica e Participação no rateio de OCC da UNIR  por Núcleo - ANO 2014</a:t>
            </a:r>
          </a:p>
        </c:rich>
      </c:tx>
      <c:layout>
        <c:manualLayout>
          <c:xMode val="edge"/>
          <c:yMode val="edge"/>
          <c:x val="0.11458333333333333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F3F3F3" mc:Ignorable="a14" a14:legacySpreadsheetColorIndex="22">
                <a:gamma/>
                <a:tint val="19216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F3F3F3" mc:Ignorable="a14" a14:legacySpreadsheetColorIndex="22">
                <a:gamma/>
                <a:tint val="19216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625000000000003E-2"/>
          <c:y val="0.14043993231810489"/>
          <c:w val="0.92395833333333333"/>
          <c:h val="0.7461928934010152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'Q. SÍNTESE COM FATOR DE COR.'!$A$63</c:f>
              <c:strCache>
                <c:ptCount val="1"/>
                <c:pt idx="0">
                  <c:v>%TAEu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cat>
            <c:strRef>
              <c:f>'Q. SÍNTESE COM FATOR DE COR.'!$B$62:$F$62</c:f>
              <c:strCache>
                <c:ptCount val="5"/>
                <c:pt idx="0">
                  <c:v>NUCSA</c:v>
                </c:pt>
                <c:pt idx="1">
                  <c:v>NT</c:v>
                </c:pt>
                <c:pt idx="2">
                  <c:v>NCET</c:v>
                </c:pt>
                <c:pt idx="3">
                  <c:v>NCH</c:v>
                </c:pt>
                <c:pt idx="4">
                  <c:v>NUSAU</c:v>
                </c:pt>
              </c:strCache>
            </c:strRef>
          </c:cat>
          <c:val>
            <c:numRef>
              <c:f>'Q. SÍNTESE COM FATOR DE COR.'!$B$63:$F$63</c:f>
              <c:numCache>
                <c:formatCode>0.00%</c:formatCode>
                <c:ptCount val="5"/>
                <c:pt idx="0">
                  <c:v>0.13958029978088077</c:v>
                </c:pt>
                <c:pt idx="1">
                  <c:v>0.15430523251836917</c:v>
                </c:pt>
                <c:pt idx="2">
                  <c:v>0.1828917393029344</c:v>
                </c:pt>
                <c:pt idx="3">
                  <c:v>0.21908042111489318</c:v>
                </c:pt>
                <c:pt idx="4">
                  <c:v>0.30414230728292246</c:v>
                </c:pt>
              </c:numCache>
            </c:numRef>
          </c:val>
        </c:ser>
        <c:ser>
          <c:idx val="1"/>
          <c:order val="1"/>
          <c:tx>
            <c:strRef>
              <c:f>'Q. SÍNTESE COM FATOR DE COR.'!$A$64</c:f>
              <c:strCache>
                <c:ptCount val="1"/>
                <c:pt idx="0">
                  <c:v>%EQR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cat>
            <c:strRef>
              <c:f>'Q. SÍNTESE COM FATOR DE COR.'!$B$62:$F$62</c:f>
              <c:strCache>
                <c:ptCount val="5"/>
                <c:pt idx="0">
                  <c:v>NUCSA</c:v>
                </c:pt>
                <c:pt idx="1">
                  <c:v>NT</c:v>
                </c:pt>
                <c:pt idx="2">
                  <c:v>NCET</c:v>
                </c:pt>
                <c:pt idx="3">
                  <c:v>NCH</c:v>
                </c:pt>
                <c:pt idx="4">
                  <c:v>NUSAU</c:v>
                </c:pt>
              </c:strCache>
            </c:strRef>
          </c:cat>
          <c:val>
            <c:numRef>
              <c:f>'Q. SÍNTESE COM FATOR DE COR.'!$B$64:$F$64</c:f>
              <c:numCache>
                <c:formatCode>0.00%</c:formatCode>
                <c:ptCount val="5"/>
                <c:pt idx="0">
                  <c:v>0.28598887840770409</c:v>
                </c:pt>
                <c:pt idx="1">
                  <c:v>0.19870469644090502</c:v>
                </c:pt>
                <c:pt idx="2">
                  <c:v>0.22930488895999929</c:v>
                </c:pt>
                <c:pt idx="3">
                  <c:v>9.8981376931080958E-2</c:v>
                </c:pt>
                <c:pt idx="4">
                  <c:v>0.18702015926031063</c:v>
                </c:pt>
              </c:numCache>
            </c:numRef>
          </c:val>
        </c:ser>
        <c:ser>
          <c:idx val="2"/>
          <c:order val="2"/>
          <c:tx>
            <c:strRef>
              <c:f>'Q. SÍNTESE COM FATOR DE COR.'!$A$65</c:f>
              <c:strCache>
                <c:ptCount val="1"/>
                <c:pt idx="0">
                  <c:v>%PART</c:v>
                </c:pt>
              </c:strCache>
            </c:strRef>
          </c:tx>
          <c:spPr>
            <a:solidFill>
              <a:srgbClr val="FFFFCC"/>
            </a:solidFill>
            <a:ln w="25400">
              <a:noFill/>
            </a:ln>
          </c:spPr>
          <c:invertIfNegative val="0"/>
          <c:cat>
            <c:strRef>
              <c:f>'Q. SÍNTESE COM FATOR DE COR.'!$B$62:$F$62</c:f>
              <c:strCache>
                <c:ptCount val="5"/>
                <c:pt idx="0">
                  <c:v>NUCSA</c:v>
                </c:pt>
                <c:pt idx="1">
                  <c:v>NT</c:v>
                </c:pt>
                <c:pt idx="2">
                  <c:v>NCET</c:v>
                </c:pt>
                <c:pt idx="3">
                  <c:v>NCH</c:v>
                </c:pt>
                <c:pt idx="4">
                  <c:v>NUSAU</c:v>
                </c:pt>
              </c:strCache>
            </c:strRef>
          </c:cat>
          <c:val>
            <c:numRef>
              <c:f>'Q. SÍNTESE COM FATOR DE COR.'!$B$65:$F$65</c:f>
              <c:numCache>
                <c:formatCode>0.00%</c:formatCode>
                <c:ptCount val="5"/>
                <c:pt idx="0">
                  <c:v>0.16886201550624544</c:v>
                </c:pt>
                <c:pt idx="1">
                  <c:v>0.16318512530287635</c:v>
                </c:pt>
                <c:pt idx="2">
                  <c:v>0.19217436923434739</c:v>
                </c:pt>
                <c:pt idx="3">
                  <c:v>0.19506061227813076</c:v>
                </c:pt>
                <c:pt idx="4">
                  <c:v>0.28071787767840012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62617600"/>
        <c:axId val="162619392"/>
        <c:axId val="0"/>
      </c:bar3DChart>
      <c:catAx>
        <c:axId val="16261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6261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619392"/>
        <c:scaling>
          <c:orientation val="minMax"/>
        </c:scaling>
        <c:delete val="0"/>
        <c:axPos val="l"/>
        <c:majorGridlines>
          <c:spPr>
            <a:ln w="25400">
              <a:solidFill>
                <a:srgbClr val="FFFFFF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626176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312500000000001"/>
          <c:y val="0.95431472081218272"/>
          <c:w val="0.19375000000000001"/>
          <c:h val="4.0609137055837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Percentual de Participação no Rateio de OCC UNIR-2014 Por Campus</a:t>
            </a:r>
          </a:p>
        </c:rich>
      </c:tx>
      <c:layout>
        <c:manualLayout>
          <c:xMode val="edge"/>
          <c:yMode val="edge"/>
          <c:x val="0.20179372197309417"/>
          <c:y val="5.6818181818181816E-2"/>
        </c:manualLayout>
      </c:layout>
      <c:overlay val="0"/>
      <c:spPr>
        <a:noFill/>
        <a:ln w="25400">
          <a:noFill/>
        </a:ln>
      </c:spPr>
    </c:title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34080717488788"/>
          <c:y val="0.32142857142857145"/>
          <c:w val="0.53363228699551568"/>
          <c:h val="0.37662337662337664"/>
        </c:manualLayout>
      </c:layout>
      <c:pie3DChart>
        <c:varyColors val="1"/>
        <c:ser>
          <c:idx val="0"/>
          <c:order val="0"/>
          <c:tx>
            <c:strRef>
              <c:f>'Q. SÍNTESE COM FATOR DE COR.'!$A$58</c:f>
              <c:strCache>
                <c:ptCount val="1"/>
                <c:pt idx="0">
                  <c:v>%PART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explosion val="1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'Q. SÍNTESE COM FATOR DE COR.'!$B$55:$I$55</c:f>
              <c:strCache>
                <c:ptCount val="8"/>
                <c:pt idx="0">
                  <c:v>CACOAL</c:v>
                </c:pt>
                <c:pt idx="1">
                  <c:v>GUAJARÁ-MIRIM</c:v>
                </c:pt>
                <c:pt idx="2">
                  <c:v>JÍ-PARANÁ</c:v>
                </c:pt>
                <c:pt idx="3">
                  <c:v>ROLIM DE MOURA</c:v>
                </c:pt>
                <c:pt idx="4">
                  <c:v>VILHENA</c:v>
                </c:pt>
                <c:pt idx="5">
                  <c:v>ARIQUEMES</c:v>
                </c:pt>
                <c:pt idx="6">
                  <c:v>PRESIDENTE MÉDICE</c:v>
                </c:pt>
                <c:pt idx="7">
                  <c:v>PORTO VELHO</c:v>
                </c:pt>
              </c:strCache>
            </c:strRef>
          </c:cat>
          <c:val>
            <c:numRef>
              <c:f>'Q. SÍNTESE COM FATOR DE COR.'!$B$58:$I$58</c:f>
              <c:numCache>
                <c:formatCode>0.00%</c:formatCode>
                <c:ptCount val="8"/>
                <c:pt idx="0">
                  <c:v>9.999893050029296E-2</c:v>
                </c:pt>
                <c:pt idx="1">
                  <c:v>8.1057705089806045E-2</c:v>
                </c:pt>
                <c:pt idx="2">
                  <c:v>0.1048350711228664</c:v>
                </c:pt>
                <c:pt idx="3">
                  <c:v>0.14135438386386584</c:v>
                </c:pt>
                <c:pt idx="4">
                  <c:v>7.3315733933201538E-2</c:v>
                </c:pt>
                <c:pt idx="5">
                  <c:v>4.7432888982051988E-2</c:v>
                </c:pt>
                <c:pt idx="6">
                  <c:v>4.6208482464802268E-2</c:v>
                </c:pt>
                <c:pt idx="7">
                  <c:v>0.40579680404311297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7F7FB" mc:Ignorable="a14" a14:legacySpreadsheetColorIndex="32">
            <a:gamma/>
            <a:tint val="3137"/>
            <a:invGamma/>
          </a:srgbClr>
        </a:gs>
        <a:gs pos="100000">
          <a:srgbClr xmlns:mc="http://schemas.openxmlformats.org/markup-compatibility/2006" xmlns:a14="http://schemas.microsoft.com/office/drawing/2010/main" val="000080" mc:Ignorable="a14" a14:legacySpreadsheetColorIndex="32"/>
        </a:gs>
      </a:gsLst>
      <a:path path="rect">
        <a:fillToRect l="50000" t="50000" r="50000" b="50000"/>
      </a:path>
    </a:gra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Percentual de Participação no Rateio de OCC UNIR-2014 por Núcleo</a:t>
            </a:r>
          </a:p>
        </c:rich>
      </c:tx>
      <c:layout>
        <c:manualLayout>
          <c:xMode val="edge"/>
          <c:yMode val="edge"/>
          <c:x val="0.22812499999999999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354166666666667"/>
          <c:y val="0.16074450084602368"/>
          <c:w val="0.47291666666666665"/>
          <c:h val="0.76818950930626062"/>
        </c:manualLayout>
      </c:layout>
      <c:pieChart>
        <c:varyColors val="1"/>
        <c:ser>
          <c:idx val="0"/>
          <c:order val="0"/>
          <c:tx>
            <c:strRef>
              <c:f>'Q. SÍNTESE COM FATOR DE COR.'!$A$65</c:f>
              <c:strCache>
                <c:ptCount val="1"/>
                <c:pt idx="0">
                  <c:v>%PART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80" mc:Ignorable="a14" a14:legacySpreadsheetColorIndex="32"/>
                </a:gs>
                <a:gs pos="100000">
                  <a:srgbClr xmlns:mc="http://schemas.openxmlformats.org/markup-compatibility/2006" xmlns:a14="http://schemas.microsoft.com/office/drawing/2010/main" val="000059" mc:Ignorable="a14" a14:legacySpreadsheetColorIndex="32">
                    <a:gamma/>
                    <a:shade val="69804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explosion val="6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'Q. SÍNTESE COM FATOR DE COR.'!$B$62:$F$62</c:f>
              <c:strCache>
                <c:ptCount val="5"/>
                <c:pt idx="0">
                  <c:v>NUCSA</c:v>
                </c:pt>
                <c:pt idx="1">
                  <c:v>NT</c:v>
                </c:pt>
                <c:pt idx="2">
                  <c:v>NCET</c:v>
                </c:pt>
                <c:pt idx="3">
                  <c:v>NCH</c:v>
                </c:pt>
                <c:pt idx="4">
                  <c:v>NUSAU</c:v>
                </c:pt>
              </c:strCache>
            </c:strRef>
          </c:cat>
          <c:val>
            <c:numRef>
              <c:f>'Q. SÍNTESE COM FATOR DE COR.'!$B$65:$F$65</c:f>
              <c:numCache>
                <c:formatCode>0.00%</c:formatCode>
                <c:ptCount val="5"/>
                <c:pt idx="0">
                  <c:v>0.16886201550624544</c:v>
                </c:pt>
                <c:pt idx="1">
                  <c:v>0.16318512530287635</c:v>
                </c:pt>
                <c:pt idx="2">
                  <c:v>0.19217436923434739</c:v>
                </c:pt>
                <c:pt idx="3">
                  <c:v>0.19506061227813076</c:v>
                </c:pt>
                <c:pt idx="4">
                  <c:v>0.28071787767840012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E0F5" mc:Ignorable="a14" a14:legacySpreadsheetColorIndex="30">
            <a:gamma/>
            <a:tint val="20000"/>
            <a:invGamma/>
          </a:srgbClr>
        </a:gs>
        <a:gs pos="100000">
          <a:srgbClr xmlns:mc="http://schemas.openxmlformats.org/markup-compatibility/2006" xmlns:a14="http://schemas.microsoft.com/office/drawing/2010/main" val="0066CC" mc:Ignorable="a14" a14:legacySpreadsheetColorIndex="30"/>
        </a:gs>
      </a:gsLst>
      <a:path path="rect">
        <a:fillToRect l="50000" t="50000" r="50000" b="50000"/>
      </a:path>
    </a:gra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8740157499999996" right="0.78740157499999996" top="0.984251969" bottom="0.984251969" header="0.49212598499999999" footer="0.49212598499999999"/>
  <pageSetup paperSize="9" orientation="landscape" verticalDpi="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8740157499999996" right="0.78740157499999996" top="0.984251969" bottom="0.984251969" header="0.49212598499999999" footer="0.49212598499999999"/>
  <pageSetup paperSize="9" orientation="landscape" verticalDpi="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8740157499999996" right="0.78740157499999996" top="0.984251969" bottom="0.984251969" header="0.5" footer="0.5"/>
  <pageSetup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6" workbookViewId="0" zoomToFit="1"/>
  </sheetViews>
  <pageMargins left="0.78740157499999996" right="0.78740157499999996" top="0.984251969" bottom="0.984251969" header="0.5" footer="0.5"/>
  <pageSetup paperSize="9" orientation="landscape" verticalDpi="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197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197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488456" cy="586441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56580" cy="563412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delodeclculoocc/indicadoresAgre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Agregado"/>
      <sheetName val="TAEu"/>
      <sheetName val="%TAEu POR CAMPI"/>
    </sheetNames>
    <sheetDataSet>
      <sheetData sheetId="0">
        <row r="19">
          <cell r="R19">
            <v>1048.83295</v>
          </cell>
        </row>
        <row r="30">
          <cell r="R30">
            <v>669.25540000000012</v>
          </cell>
        </row>
        <row r="34">
          <cell r="R34">
            <v>16</v>
          </cell>
        </row>
        <row r="42">
          <cell r="R42">
            <v>141.9</v>
          </cell>
        </row>
        <row r="49">
          <cell r="R49">
            <v>1128.964925</v>
          </cell>
        </row>
        <row r="57">
          <cell r="R57">
            <v>382.8</v>
          </cell>
        </row>
        <row r="61">
          <cell r="R61">
            <v>1540.44</v>
          </cell>
        </row>
        <row r="72">
          <cell r="R72">
            <v>148.08090000000001</v>
          </cell>
        </row>
        <row r="76">
          <cell r="R76">
            <v>720.26570000000004</v>
          </cell>
        </row>
        <row r="88">
          <cell r="R88">
            <v>375.70500000000004</v>
          </cell>
        </row>
        <row r="93">
          <cell r="R93">
            <v>316.8</v>
          </cell>
        </row>
        <row r="99">
          <cell r="R99" t="str">
            <v>TAEG</v>
          </cell>
        </row>
        <row r="138">
          <cell r="R138">
            <v>4855.1305000000002</v>
          </cell>
        </row>
        <row r="151">
          <cell r="R151">
            <v>298</v>
          </cell>
        </row>
        <row r="154">
          <cell r="R154">
            <v>314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3"/>
  <sheetViews>
    <sheetView view="pageBreakPreview" topLeftCell="B232" zoomScale="130" zoomScaleNormal="100" workbookViewId="0">
      <selection activeCell="Q45" sqref="Q45"/>
    </sheetView>
  </sheetViews>
  <sheetFormatPr defaultRowHeight="12.75"/>
  <cols>
    <col min="1" max="1" width="1.28515625" customWidth="1"/>
    <col min="2" max="2" width="0.5703125" customWidth="1"/>
    <col min="3" max="3" width="1.140625" customWidth="1"/>
    <col min="4" max="4" width="16.28515625" customWidth="1"/>
    <col min="5" max="5" width="0.42578125" customWidth="1"/>
    <col min="6" max="6" width="32.7109375" customWidth="1"/>
    <col min="7" max="7" width="0.140625" customWidth="1"/>
    <col min="8" max="8" width="6.42578125" customWidth="1"/>
    <col min="9" max="9" width="0.140625" customWidth="1"/>
    <col min="10" max="10" width="6.42578125" customWidth="1"/>
    <col min="11" max="11" width="0.140625" customWidth="1"/>
    <col min="12" max="12" width="6.42578125" customWidth="1"/>
    <col min="13" max="13" width="0.140625" customWidth="1"/>
    <col min="14" max="14" width="6.42578125" customWidth="1"/>
    <col min="15" max="15" width="0.28515625" customWidth="1"/>
    <col min="16" max="16" width="6.42578125" customWidth="1"/>
    <col min="17" max="17" width="12.7109375" customWidth="1"/>
    <col min="18" max="18" width="5.85546875" customWidth="1"/>
    <col min="19" max="19" width="0.7109375" customWidth="1"/>
    <col min="20" max="20" width="1.7109375" customWidth="1"/>
    <col min="21" max="21" width="2.140625" customWidth="1"/>
    <col min="22" max="22" width="13.140625" customWidth="1"/>
    <col min="23" max="23" width="7.7109375" style="64" customWidth="1"/>
    <col min="24" max="24" width="14.7109375" style="62" bestFit="1" customWidth="1"/>
    <col min="25" max="25" width="14.7109375" bestFit="1" customWidth="1"/>
    <col min="26" max="26" width="16.5703125" bestFit="1" customWidth="1"/>
  </cols>
  <sheetData>
    <row r="1" spans="1:26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67"/>
      <c r="O1" s="167"/>
      <c r="P1" s="167"/>
      <c r="Q1" s="167"/>
      <c r="R1" s="167"/>
      <c r="S1" s="167"/>
      <c r="T1" s="167"/>
      <c r="U1" s="167"/>
      <c r="V1" s="167"/>
      <c r="W1" s="168"/>
      <c r="X1" s="169"/>
    </row>
    <row r="2" spans="1:26" ht="15.75" customHeight="1">
      <c r="A2" s="326" t="s">
        <v>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44"/>
      <c r="N2" s="167"/>
      <c r="O2" s="167"/>
      <c r="P2" s="167"/>
      <c r="Q2" s="167"/>
      <c r="R2" s="167"/>
      <c r="S2" s="167"/>
      <c r="T2" s="167"/>
      <c r="U2" s="167"/>
      <c r="V2" s="167"/>
      <c r="W2" s="168"/>
      <c r="X2" s="169"/>
    </row>
    <row r="3" spans="1:26" ht="15.75" customHeight="1">
      <c r="A3" s="326" t="s">
        <v>1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167"/>
      <c r="O3" s="167"/>
      <c r="P3" s="167"/>
      <c r="Q3" s="167"/>
      <c r="R3" s="167"/>
      <c r="S3" s="167"/>
      <c r="T3" s="167"/>
      <c r="U3" s="167"/>
      <c r="V3" s="167"/>
      <c r="W3" s="168"/>
      <c r="X3" s="169"/>
    </row>
    <row r="4" spans="1:26" ht="14.2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167"/>
      <c r="O4" s="167"/>
      <c r="P4" s="167"/>
      <c r="Q4" s="167"/>
      <c r="R4" s="167"/>
      <c r="S4" s="167"/>
      <c r="T4" s="167"/>
      <c r="U4" s="167"/>
      <c r="V4" s="167"/>
      <c r="W4" s="168"/>
      <c r="X4" s="169"/>
      <c r="Z4" s="15"/>
    </row>
    <row r="5" spans="1:26" ht="14.1" customHeight="1">
      <c r="A5" s="327" t="s">
        <v>2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45"/>
      <c r="N5" s="45"/>
      <c r="O5" s="45"/>
      <c r="P5" s="328"/>
      <c r="Q5" s="328"/>
      <c r="R5" s="328"/>
      <c r="S5" s="328"/>
      <c r="T5" s="328"/>
      <c r="U5" s="328"/>
      <c r="V5" s="171"/>
      <c r="W5" s="171"/>
      <c r="X5" s="171"/>
    </row>
    <row r="6" spans="1:26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48"/>
      <c r="Q6" s="25"/>
      <c r="R6" s="25"/>
      <c r="S6" s="25"/>
      <c r="T6" s="1"/>
      <c r="U6" s="1"/>
      <c r="V6" s="171"/>
      <c r="W6" s="171"/>
      <c r="X6" s="171"/>
    </row>
    <row r="7" spans="1:26" ht="14.1" customHeight="1">
      <c r="A7" s="1"/>
      <c r="B7" s="1"/>
      <c r="C7" s="287" t="s">
        <v>3</v>
      </c>
      <c r="D7" s="287"/>
      <c r="E7" s="287"/>
      <c r="F7" s="287"/>
      <c r="G7" s="287"/>
      <c r="H7" s="287"/>
      <c r="I7" s="287"/>
      <c r="J7" s="287"/>
      <c r="K7" s="46"/>
      <c r="L7" s="46"/>
      <c r="M7" s="46"/>
      <c r="N7" s="46"/>
      <c r="O7" s="46"/>
      <c r="P7" s="46"/>
      <c r="Q7" s="46"/>
      <c r="R7" s="46"/>
      <c r="S7" s="1"/>
      <c r="T7" s="1"/>
      <c r="U7" s="1"/>
      <c r="V7" s="171"/>
      <c r="W7" s="171"/>
      <c r="X7" s="171"/>
      <c r="Z7" s="15"/>
    </row>
    <row r="8" spans="1:26" ht="0.9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71"/>
      <c r="W8" s="171"/>
      <c r="X8" s="171"/>
    </row>
    <row r="9" spans="1:26" ht="12" customHeight="1">
      <c r="A9" s="1"/>
      <c r="B9" s="1"/>
      <c r="C9" s="1"/>
      <c r="D9" s="319" t="s">
        <v>4</v>
      </c>
      <c r="E9" s="319"/>
      <c r="F9" s="319"/>
      <c r="G9" s="319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1"/>
      <c r="V9" s="171"/>
      <c r="W9" s="171"/>
      <c r="X9" s="171"/>
    </row>
    <row r="10" spans="1:26" ht="3.9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72"/>
      <c r="W10" s="172"/>
      <c r="X10" s="172"/>
    </row>
    <row r="11" spans="1:26" ht="27" customHeight="1">
      <c r="A11" s="1"/>
      <c r="B11" s="1"/>
      <c r="C11" s="1"/>
      <c r="D11" s="18" t="s">
        <v>5</v>
      </c>
      <c r="E11" s="19"/>
      <c r="F11" s="20" t="s">
        <v>6</v>
      </c>
      <c r="G11" s="19"/>
      <c r="H11" s="21" t="s">
        <v>7</v>
      </c>
      <c r="I11" s="19"/>
      <c r="J11" s="21" t="s">
        <v>8</v>
      </c>
      <c r="K11" s="19"/>
      <c r="L11" s="21" t="s">
        <v>9</v>
      </c>
      <c r="M11" s="19"/>
      <c r="N11" s="21" t="s">
        <v>10</v>
      </c>
      <c r="O11" s="19"/>
      <c r="P11" s="22" t="s">
        <v>11</v>
      </c>
      <c r="Q11" s="17" t="s">
        <v>167</v>
      </c>
      <c r="R11" s="320" t="s">
        <v>171</v>
      </c>
      <c r="S11" s="321"/>
      <c r="T11" s="321"/>
      <c r="U11" s="321"/>
      <c r="V11" s="67" t="s">
        <v>191</v>
      </c>
      <c r="W11" s="68" t="s">
        <v>193</v>
      </c>
      <c r="X11" s="69" t="s">
        <v>194</v>
      </c>
    </row>
    <row r="12" spans="1:26" ht="11.25" customHeight="1">
      <c r="A12" s="1"/>
      <c r="B12" s="1"/>
      <c r="C12" s="1"/>
      <c r="D12" s="23" t="s">
        <v>12</v>
      </c>
      <c r="E12" s="1"/>
      <c r="F12" s="6" t="s">
        <v>13</v>
      </c>
      <c r="G12" s="1"/>
      <c r="H12" s="7" t="s">
        <v>14</v>
      </c>
      <c r="I12" s="1"/>
      <c r="J12" s="7">
        <v>50</v>
      </c>
      <c r="K12" s="1"/>
      <c r="L12" s="7">
        <v>50</v>
      </c>
      <c r="M12" s="1"/>
      <c r="N12" s="7">
        <v>96</v>
      </c>
      <c r="O12" s="1"/>
      <c r="P12" s="10">
        <v>0</v>
      </c>
      <c r="Q12" s="329">
        <f>(((P12+P13)*(1+0.12)+(((L12+L13)-(P12+P13))/4))*1*4*1.15*1.1)</f>
        <v>220.81840000000003</v>
      </c>
      <c r="R12" s="330">
        <f>(Q12/Q$19)</f>
        <v>0.21053724523052028</v>
      </c>
      <c r="S12" s="331"/>
      <c r="T12" s="331"/>
      <c r="U12" s="331"/>
      <c r="V12" s="370">
        <v>3</v>
      </c>
      <c r="W12" s="435"/>
      <c r="X12" s="432">
        <f>(V12/Q214)</f>
        <v>0.96</v>
      </c>
    </row>
    <row r="13" spans="1:26" ht="9.9499999999999993" customHeight="1">
      <c r="A13" s="1"/>
      <c r="B13" s="1"/>
      <c r="C13" s="1"/>
      <c r="D13" s="23" t="s">
        <v>12</v>
      </c>
      <c r="E13" s="1"/>
      <c r="F13" s="6" t="s">
        <v>15</v>
      </c>
      <c r="G13" s="1"/>
      <c r="H13" s="7" t="s">
        <v>16</v>
      </c>
      <c r="I13" s="1"/>
      <c r="J13" s="7">
        <v>44</v>
      </c>
      <c r="K13" s="1"/>
      <c r="L13" s="7">
        <v>48</v>
      </c>
      <c r="M13" s="1"/>
      <c r="N13" s="7">
        <v>227</v>
      </c>
      <c r="O13" s="1"/>
      <c r="P13" s="10">
        <v>22</v>
      </c>
      <c r="Q13" s="329"/>
      <c r="R13" s="332"/>
      <c r="S13" s="333"/>
      <c r="T13" s="333"/>
      <c r="U13" s="333"/>
      <c r="V13" s="370"/>
      <c r="W13" s="436"/>
      <c r="X13" s="432"/>
    </row>
    <row r="14" spans="1:26" ht="9.9499999999999993" customHeight="1">
      <c r="A14" s="1"/>
      <c r="B14" s="1"/>
      <c r="C14" s="1"/>
      <c r="D14" s="23" t="s">
        <v>17</v>
      </c>
      <c r="E14" s="1"/>
      <c r="F14" s="6" t="s">
        <v>18</v>
      </c>
      <c r="G14" s="1"/>
      <c r="H14" s="7" t="s">
        <v>16</v>
      </c>
      <c r="I14" s="1"/>
      <c r="J14" s="7">
        <v>50</v>
      </c>
      <c r="K14" s="1"/>
      <c r="L14" s="7">
        <v>49</v>
      </c>
      <c r="M14" s="1"/>
      <c r="N14" s="7">
        <v>220</v>
      </c>
      <c r="O14" s="1"/>
      <c r="P14" s="10">
        <v>34</v>
      </c>
      <c r="Q14" s="329">
        <f>(((P14+P15)*(1+0.12)+(((L14+L15)-(P14+P15))/4))*1*4*1.15*1.1)</f>
        <v>274.90980000000002</v>
      </c>
      <c r="R14" s="330">
        <f>(Q14/Q$19)</f>
        <v>0.26211018637429345</v>
      </c>
      <c r="S14" s="331"/>
      <c r="T14" s="331"/>
      <c r="U14" s="331"/>
      <c r="V14" s="370">
        <v>3</v>
      </c>
      <c r="W14" s="435"/>
      <c r="X14" s="432">
        <f>(V14/Q214)</f>
        <v>0.96</v>
      </c>
    </row>
    <row r="15" spans="1:26" ht="9.9499999999999993" customHeight="1">
      <c r="A15" s="1"/>
      <c r="B15" s="1"/>
      <c r="C15" s="1"/>
      <c r="D15" s="23" t="s">
        <v>17</v>
      </c>
      <c r="E15" s="1"/>
      <c r="F15" s="6" t="s">
        <v>19</v>
      </c>
      <c r="G15" s="1"/>
      <c r="H15" s="7" t="s">
        <v>14</v>
      </c>
      <c r="I15" s="1"/>
      <c r="J15" s="7">
        <v>39</v>
      </c>
      <c r="K15" s="1"/>
      <c r="L15" s="7">
        <v>50</v>
      </c>
      <c r="M15" s="1"/>
      <c r="N15" s="7">
        <v>106</v>
      </c>
      <c r="O15" s="1"/>
      <c r="P15" s="10">
        <v>0</v>
      </c>
      <c r="Q15" s="329"/>
      <c r="R15" s="332"/>
      <c r="S15" s="333"/>
      <c r="T15" s="333"/>
      <c r="U15" s="333"/>
      <c r="V15" s="370"/>
      <c r="W15" s="436"/>
      <c r="X15" s="432"/>
    </row>
    <row r="16" spans="1:26" ht="9.9499999999999993" customHeight="1">
      <c r="A16" s="1"/>
      <c r="B16" s="1"/>
      <c r="C16" s="1"/>
      <c r="D16" s="23" t="s">
        <v>20</v>
      </c>
      <c r="E16" s="1"/>
      <c r="F16" s="6" t="s">
        <v>21</v>
      </c>
      <c r="G16" s="1"/>
      <c r="H16" s="7" t="s">
        <v>14</v>
      </c>
      <c r="I16" s="1"/>
      <c r="J16" s="7">
        <v>50</v>
      </c>
      <c r="K16" s="1"/>
      <c r="L16" s="7">
        <v>50</v>
      </c>
      <c r="M16" s="1"/>
      <c r="N16" s="7">
        <v>144</v>
      </c>
      <c r="O16" s="1"/>
      <c r="P16" s="10">
        <v>0</v>
      </c>
      <c r="Q16" s="329">
        <f>(((P16+P17)*(1+0.12)+(((L16+L17)-(P16+P17))/4))*1*5*1.15*1.1)</f>
        <v>317.70474999999999</v>
      </c>
      <c r="R16" s="330">
        <f>(Q16/Q$19)</f>
        <v>0.30291263255983708</v>
      </c>
      <c r="S16" s="331"/>
      <c r="T16" s="331"/>
      <c r="U16" s="331"/>
      <c r="V16" s="370">
        <v>3</v>
      </c>
      <c r="W16" s="435"/>
      <c r="X16" s="432">
        <f>(V16/Q214)</f>
        <v>0.96</v>
      </c>
    </row>
    <row r="17" spans="1:26" ht="9.9499999999999993" customHeight="1">
      <c r="A17" s="1"/>
      <c r="B17" s="1"/>
      <c r="C17" s="1"/>
      <c r="D17" s="23" t="s">
        <v>20</v>
      </c>
      <c r="E17" s="1"/>
      <c r="F17" s="6" t="s">
        <v>22</v>
      </c>
      <c r="G17" s="1"/>
      <c r="H17" s="7" t="s">
        <v>16</v>
      </c>
      <c r="I17" s="1"/>
      <c r="J17" s="7">
        <v>42</v>
      </c>
      <c r="K17" s="1"/>
      <c r="L17" s="7">
        <v>50</v>
      </c>
      <c r="M17" s="1"/>
      <c r="N17" s="7">
        <v>252</v>
      </c>
      <c r="O17" s="1"/>
      <c r="P17" s="10">
        <v>29</v>
      </c>
      <c r="Q17" s="329"/>
      <c r="R17" s="332"/>
      <c r="S17" s="333"/>
      <c r="T17" s="333"/>
      <c r="U17" s="333"/>
      <c r="V17" s="370"/>
      <c r="W17" s="436"/>
      <c r="X17" s="432"/>
      <c r="Y17" s="26"/>
      <c r="Z17" s="26"/>
    </row>
    <row r="18" spans="1:26" ht="14.25" customHeight="1" thickBot="1">
      <c r="A18" s="1"/>
      <c r="B18" s="1"/>
      <c r="C18" s="1"/>
      <c r="D18" s="24" t="s">
        <v>26</v>
      </c>
      <c r="E18" s="1"/>
      <c r="F18" s="16" t="s">
        <v>27</v>
      </c>
      <c r="G18" s="1"/>
      <c r="H18" s="4" t="s">
        <v>25</v>
      </c>
      <c r="I18" s="1"/>
      <c r="J18" s="4">
        <v>50</v>
      </c>
      <c r="K18" s="1"/>
      <c r="L18" s="4">
        <v>45</v>
      </c>
      <c r="M18" s="1"/>
      <c r="N18" s="4">
        <v>107</v>
      </c>
      <c r="O18" s="1"/>
      <c r="P18" s="11">
        <v>0</v>
      </c>
      <c r="Q18" s="28">
        <f>((N18)*2*1*1.1)</f>
        <v>235.4</v>
      </c>
      <c r="R18" s="322">
        <f>(Q18/Q19)</f>
        <v>0.22443993583534919</v>
      </c>
      <c r="S18" s="323"/>
      <c r="T18" s="323"/>
      <c r="U18" s="323"/>
      <c r="V18" s="74">
        <v>3</v>
      </c>
      <c r="W18" s="75">
        <v>0</v>
      </c>
      <c r="X18" s="76">
        <f>(V18/Q214)</f>
        <v>0.96</v>
      </c>
      <c r="Y18" s="26"/>
      <c r="Z18" s="26"/>
    </row>
    <row r="19" spans="1:26" ht="14.25" customHeight="1" thickBot="1">
      <c r="A19" s="1"/>
      <c r="B19" s="1"/>
      <c r="C19" s="1"/>
      <c r="D19" s="313" t="s">
        <v>170</v>
      </c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49">
        <f>SUM(Q12:Q18)</f>
        <v>1048.83295</v>
      </c>
      <c r="R19" s="377">
        <f>SUM(R12:U18)</f>
        <v>0.99999999999999989</v>
      </c>
      <c r="S19" s="378"/>
      <c r="T19" s="378"/>
      <c r="U19" s="378"/>
      <c r="V19" s="392"/>
      <c r="W19" s="393"/>
      <c r="X19" s="394"/>
      <c r="Y19" s="26"/>
      <c r="Z19" s="26"/>
    </row>
    <row r="20" spans="1:26" ht="15" customHeight="1" thickBot="1">
      <c r="A20" s="1"/>
      <c r="B20" s="1"/>
      <c r="C20" s="1"/>
      <c r="D20" s="301" t="s">
        <v>180</v>
      </c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66">
        <f>SUM(Q12:Q18)</f>
        <v>1048.83295</v>
      </c>
      <c r="R20" s="360">
        <f>(Q20/TAEj!B20)</f>
        <v>9.5614480123799167E-2</v>
      </c>
      <c r="S20" s="361"/>
      <c r="T20" s="361"/>
      <c r="U20" s="361"/>
      <c r="V20" s="401"/>
      <c r="W20" s="402"/>
      <c r="X20" s="403"/>
      <c r="Y20" s="26"/>
      <c r="Z20" s="26"/>
    </row>
    <row r="21" spans="1:26" ht="15" customHeight="1" thickBot="1">
      <c r="A21" s="1"/>
      <c r="B21" s="1"/>
      <c r="C21" s="1"/>
      <c r="D21" s="342" t="s">
        <v>196</v>
      </c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4"/>
      <c r="Q21" s="105">
        <f>SUM(X12:X18)/4</f>
        <v>0.96</v>
      </c>
      <c r="R21" s="309" t="s">
        <v>221</v>
      </c>
      <c r="S21" s="310"/>
      <c r="T21" s="310"/>
      <c r="U21" s="310"/>
      <c r="V21" s="162" t="s">
        <v>222</v>
      </c>
      <c r="W21" s="162" t="s">
        <v>223</v>
      </c>
      <c r="X21" s="163" t="s">
        <v>224</v>
      </c>
      <c r="Y21" s="26"/>
      <c r="Z21" s="26"/>
    </row>
    <row r="22" spans="1:26" ht="14.25" customHeight="1" thickBot="1">
      <c r="A22" s="1"/>
      <c r="B22" s="1"/>
      <c r="C22" s="1"/>
      <c r="D22" s="355" t="s">
        <v>227</v>
      </c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7"/>
      <c r="Q22" s="49">
        <f>Q20/SUM(R22:X22)</f>
        <v>15.800436125338958</v>
      </c>
      <c r="R22" s="398">
        <f>(34)*1.7</f>
        <v>57.8</v>
      </c>
      <c r="S22" s="312"/>
      <c r="T22" s="312"/>
      <c r="U22" s="312"/>
      <c r="V22" s="164">
        <f>(1)*1</f>
        <v>1</v>
      </c>
      <c r="W22" s="164">
        <f>(1)*0.58</f>
        <v>0.57999999999999996</v>
      </c>
      <c r="X22" s="79">
        <f>7*1</f>
        <v>7</v>
      </c>
    </row>
    <row r="23" spans="1:26" ht="14.25" customHeight="1" thickBot="1">
      <c r="A23" s="1"/>
      <c r="B23" s="1"/>
      <c r="C23" s="1"/>
      <c r="D23" s="372" t="s">
        <v>228</v>
      </c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4"/>
      <c r="Q23" s="59">
        <f>Q22/Q216</f>
        <v>1.1555790869666624</v>
      </c>
      <c r="R23" s="404"/>
      <c r="S23" s="405"/>
      <c r="T23" s="405"/>
      <c r="U23" s="405"/>
      <c r="V23" s="405"/>
      <c r="W23" s="405"/>
      <c r="X23" s="405"/>
    </row>
    <row r="24" spans="1:26" ht="14.25" customHeight="1" thickBot="1">
      <c r="A24" s="1"/>
      <c r="B24" s="1"/>
      <c r="C24" s="1"/>
      <c r="D24" s="345" t="s">
        <v>229</v>
      </c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7"/>
      <c r="Q24" s="170">
        <f>Q21+Q23</f>
        <v>2.1155790869666626</v>
      </c>
      <c r="R24" s="406"/>
      <c r="S24" s="407"/>
      <c r="T24" s="407"/>
      <c r="U24" s="407"/>
      <c r="V24" s="407"/>
      <c r="W24" s="407"/>
      <c r="X24" s="407"/>
    </row>
    <row r="25" spans="1:26" ht="14.25" customHeight="1" thickBot="1">
      <c r="A25" s="1"/>
      <c r="B25" s="1"/>
      <c r="C25" s="1"/>
      <c r="D25" s="316" t="s">
        <v>251</v>
      </c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8"/>
      <c r="Q25" s="173">
        <f>Q20/Q213</f>
        <v>9.5614480123799167E-2</v>
      </c>
      <c r="R25" s="148"/>
      <c r="S25" s="148"/>
      <c r="T25" s="148"/>
      <c r="U25" s="148"/>
      <c r="V25" s="433"/>
      <c r="W25" s="433"/>
      <c r="X25" s="433"/>
    </row>
    <row r="26" spans="1:26" ht="14.25" customHeight="1" thickBot="1">
      <c r="A26" s="1"/>
      <c r="B26" s="1"/>
      <c r="C26" s="1"/>
      <c r="D26" s="303" t="s">
        <v>252</v>
      </c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5"/>
      <c r="Q26" s="173">
        <f>Q24/Q217</f>
        <v>0.11753673200626809</v>
      </c>
      <c r="R26" s="148"/>
      <c r="S26" s="148"/>
      <c r="T26" s="148"/>
      <c r="U26" s="148"/>
      <c r="V26" s="433"/>
      <c r="W26" s="433"/>
      <c r="X26" s="433"/>
      <c r="Y26" s="227"/>
      <c r="Z26" s="226"/>
    </row>
    <row r="27" spans="1:26" ht="14.25" customHeight="1" thickBot="1">
      <c r="A27" s="1"/>
      <c r="B27" s="1"/>
      <c r="C27" s="1"/>
      <c r="D27" s="298" t="s">
        <v>253</v>
      </c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300"/>
      <c r="Q27" s="174">
        <f>((Q25*0.8)+(Q26*0.2))</f>
        <v>9.999893050029296E-2</v>
      </c>
      <c r="R27" s="148"/>
      <c r="S27" s="148"/>
      <c r="T27" s="148"/>
      <c r="U27" s="148"/>
      <c r="V27" s="433"/>
      <c r="W27" s="433"/>
      <c r="X27" s="433"/>
    </row>
    <row r="28" spans="1:26" ht="14.1" customHeight="1">
      <c r="A28" s="1"/>
      <c r="B28" s="1"/>
      <c r="C28" s="287" t="s">
        <v>28</v>
      </c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1"/>
      <c r="T28" s="1"/>
      <c r="U28" s="1"/>
      <c r="V28" s="433"/>
      <c r="W28" s="433"/>
      <c r="X28" s="433"/>
    </row>
    <row r="29" spans="1:26" ht="0.9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433"/>
      <c r="W29" s="433"/>
      <c r="X29" s="433"/>
    </row>
    <row r="30" spans="1:26" ht="12" customHeight="1">
      <c r="A30" s="1"/>
      <c r="B30" s="1"/>
      <c r="C30" s="1"/>
      <c r="D30" s="319" t="s">
        <v>29</v>
      </c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1"/>
      <c r="V30" s="433"/>
      <c r="W30" s="433"/>
      <c r="X30" s="433"/>
    </row>
    <row r="31" spans="1:26" ht="3.95" customHeight="1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434"/>
      <c r="W31" s="434"/>
      <c r="X31" s="434"/>
    </row>
    <row r="32" spans="1:26" ht="27" customHeight="1">
      <c r="A32" s="1"/>
      <c r="B32" s="1"/>
      <c r="C32" s="1"/>
      <c r="D32" s="18" t="s">
        <v>5</v>
      </c>
      <c r="E32" s="19"/>
      <c r="F32" s="20" t="s">
        <v>6</v>
      </c>
      <c r="G32" s="19"/>
      <c r="H32" s="21" t="s">
        <v>7</v>
      </c>
      <c r="I32" s="19"/>
      <c r="J32" s="21" t="s">
        <v>8</v>
      </c>
      <c r="K32" s="19"/>
      <c r="L32" s="21" t="s">
        <v>9</v>
      </c>
      <c r="M32" s="19"/>
      <c r="N32" s="21" t="s">
        <v>10</v>
      </c>
      <c r="O32" s="19"/>
      <c r="P32" s="50" t="s">
        <v>11</v>
      </c>
      <c r="Q32" s="17" t="s">
        <v>167</v>
      </c>
      <c r="R32" s="320" t="s">
        <v>171</v>
      </c>
      <c r="S32" s="321"/>
      <c r="T32" s="321"/>
      <c r="U32" s="321"/>
      <c r="V32" s="67" t="s">
        <v>191</v>
      </c>
      <c r="W32" s="68" t="s">
        <v>193</v>
      </c>
      <c r="X32" s="69" t="s">
        <v>194</v>
      </c>
    </row>
    <row r="33" spans="1:24" ht="13.5" customHeight="1" thickBot="1">
      <c r="A33" s="1"/>
      <c r="B33" s="1"/>
      <c r="C33" s="1"/>
      <c r="D33" s="23" t="s">
        <v>30</v>
      </c>
      <c r="E33" s="1"/>
      <c r="F33" s="6" t="s">
        <v>31</v>
      </c>
      <c r="G33" s="1"/>
      <c r="H33" s="7" t="s">
        <v>16</v>
      </c>
      <c r="I33" s="1"/>
      <c r="J33" s="7">
        <v>39</v>
      </c>
      <c r="K33" s="1"/>
      <c r="L33" s="7">
        <v>55</v>
      </c>
      <c r="M33" s="1"/>
      <c r="N33" s="7">
        <v>227</v>
      </c>
      <c r="O33" s="1"/>
      <c r="P33" s="51">
        <v>12</v>
      </c>
      <c r="Q33" s="27">
        <f>(((P33)*(1+0.12)+(((L33)-(P33))/4))*1*4*1.15*1.1)</f>
        <v>122.40140000000001</v>
      </c>
      <c r="R33" s="322">
        <f>(Q33/Q$37)</f>
        <v>0.18289191241490169</v>
      </c>
      <c r="S33" s="323"/>
      <c r="T33" s="323"/>
      <c r="U33" s="323"/>
      <c r="V33" s="70">
        <v>3</v>
      </c>
      <c r="W33" s="65"/>
      <c r="X33" s="71">
        <f>(V33/Q214)</f>
        <v>0.96</v>
      </c>
    </row>
    <row r="34" spans="1:24" ht="16.5" customHeight="1" thickBot="1">
      <c r="A34" s="1"/>
      <c r="B34" s="1"/>
      <c r="C34" s="1"/>
      <c r="D34" s="23" t="s">
        <v>32</v>
      </c>
      <c r="E34" s="1"/>
      <c r="F34" s="6" t="s">
        <v>33</v>
      </c>
      <c r="G34" s="1"/>
      <c r="H34" s="7" t="s">
        <v>34</v>
      </c>
      <c r="I34" s="1"/>
      <c r="J34" s="7">
        <v>50</v>
      </c>
      <c r="K34" s="1"/>
      <c r="L34" s="7">
        <v>50</v>
      </c>
      <c r="M34" s="1"/>
      <c r="N34" s="7">
        <v>136</v>
      </c>
      <c r="O34" s="1"/>
      <c r="P34" s="51">
        <v>0</v>
      </c>
      <c r="Q34" s="27">
        <f>((N34)*2*1*1.1)</f>
        <v>299.20000000000005</v>
      </c>
      <c r="R34" s="322">
        <f>(Q34/Q$37)</f>
        <v>0.44706400575923627</v>
      </c>
      <c r="S34" s="323"/>
      <c r="T34" s="323"/>
      <c r="U34" s="323"/>
      <c r="V34" s="70">
        <v>3</v>
      </c>
      <c r="W34" s="65">
        <v>0</v>
      </c>
      <c r="X34" s="71">
        <f>(V34/Q214)</f>
        <v>0.96</v>
      </c>
    </row>
    <row r="35" spans="1:24" ht="14.25" customHeight="1" thickBot="1">
      <c r="A35" s="1"/>
      <c r="B35" s="1"/>
      <c r="C35" s="1"/>
      <c r="D35" s="23" t="s">
        <v>35</v>
      </c>
      <c r="E35" s="1"/>
      <c r="F35" s="6" t="s">
        <v>36</v>
      </c>
      <c r="G35" s="1"/>
      <c r="H35" s="7" t="s">
        <v>14</v>
      </c>
      <c r="I35" s="1"/>
      <c r="J35" s="7">
        <v>50</v>
      </c>
      <c r="K35" s="1"/>
      <c r="L35" s="7">
        <v>51</v>
      </c>
      <c r="M35" s="1"/>
      <c r="N35" s="7">
        <v>183</v>
      </c>
      <c r="O35" s="1"/>
      <c r="P35" s="51">
        <v>29</v>
      </c>
      <c r="Q35" s="27">
        <f>(((P35)*(1+0.115)+(((L35)-(P35))/4))*1*4*1*1.1)</f>
        <v>166.47400000000002</v>
      </c>
      <c r="R35" s="322">
        <f>(Q35/Q$37)</f>
        <v>0.24874509791030447</v>
      </c>
      <c r="S35" s="323"/>
      <c r="T35" s="323"/>
      <c r="U35" s="323"/>
      <c r="V35" s="70">
        <v>3</v>
      </c>
      <c r="W35" s="65"/>
      <c r="X35" s="71">
        <f>(V35/Q214)</f>
        <v>0.96</v>
      </c>
    </row>
    <row r="36" spans="1:24" ht="15" customHeight="1" thickBot="1">
      <c r="A36" s="1"/>
      <c r="B36" s="1"/>
      <c r="C36" s="1"/>
      <c r="D36" s="52" t="s">
        <v>37</v>
      </c>
      <c r="E36" s="53"/>
      <c r="F36" s="54" t="s">
        <v>38</v>
      </c>
      <c r="G36" s="53"/>
      <c r="H36" s="55" t="s">
        <v>14</v>
      </c>
      <c r="I36" s="53"/>
      <c r="J36" s="55">
        <v>50</v>
      </c>
      <c r="K36" s="53"/>
      <c r="L36" s="55">
        <v>50</v>
      </c>
      <c r="M36" s="53"/>
      <c r="N36" s="55">
        <v>231</v>
      </c>
      <c r="O36" s="53"/>
      <c r="P36" s="56">
        <v>7</v>
      </c>
      <c r="Q36" s="27">
        <f>(((P36)*(1+0.1)+(((L36)-(P36))/4))*1*4*1*1.1)</f>
        <v>81.180000000000021</v>
      </c>
      <c r="R36" s="322">
        <f>(Q36/Q$37)</f>
        <v>0.1212989839155575</v>
      </c>
      <c r="S36" s="323"/>
      <c r="T36" s="323"/>
      <c r="U36" s="323"/>
      <c r="V36" s="74">
        <v>3</v>
      </c>
      <c r="W36" s="78">
        <v>0</v>
      </c>
      <c r="X36" s="79">
        <f>(V36/Q214)</f>
        <v>0.96</v>
      </c>
    </row>
    <row r="37" spans="1:24" ht="15" customHeight="1" thickBot="1">
      <c r="A37" s="1"/>
      <c r="B37" s="1"/>
      <c r="C37" s="1"/>
      <c r="D37" s="313" t="s">
        <v>181</v>
      </c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49">
        <f>SUM(Q33:Q36)</f>
        <v>669.25540000000012</v>
      </c>
      <c r="R37" s="339">
        <f>(Q37/Q$37)</f>
        <v>1</v>
      </c>
      <c r="S37" s="340"/>
      <c r="T37" s="340"/>
      <c r="U37" s="340"/>
      <c r="V37" s="392"/>
      <c r="W37" s="393"/>
      <c r="X37" s="394"/>
    </row>
    <row r="38" spans="1:24" ht="14.25" customHeight="1" thickBot="1">
      <c r="A38" s="1"/>
      <c r="B38" s="1"/>
      <c r="C38" s="1"/>
      <c r="D38" s="408" t="s">
        <v>182</v>
      </c>
      <c r="E38" s="409"/>
      <c r="F38" s="409"/>
      <c r="G38" s="409"/>
      <c r="H38" s="409"/>
      <c r="I38" s="409"/>
      <c r="J38" s="409"/>
      <c r="K38" s="409"/>
      <c r="L38" s="409"/>
      <c r="M38" s="409"/>
      <c r="N38" s="409"/>
      <c r="O38" s="409"/>
      <c r="P38" s="410"/>
      <c r="Q38" s="49">
        <f>SUM(Q33:Q36)+Q49</f>
        <v>685.25540000000012</v>
      </c>
      <c r="R38" s="339">
        <f>((Q38+Q49)/TAEj!B20)</f>
        <v>6.392836009300322E-2</v>
      </c>
      <c r="S38" s="340"/>
      <c r="T38" s="340"/>
      <c r="U38" s="340"/>
      <c r="V38" s="395"/>
      <c r="W38" s="396"/>
      <c r="X38" s="397"/>
    </row>
    <row r="39" spans="1:24" ht="14.25" customHeight="1" thickBot="1">
      <c r="A39" s="1"/>
      <c r="B39" s="1"/>
      <c r="C39" s="1"/>
      <c r="D39" s="342" t="s">
        <v>197</v>
      </c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4"/>
      <c r="Q39" s="105">
        <f>SUM(X33:X36)/4</f>
        <v>0.96</v>
      </c>
      <c r="R39" s="309" t="s">
        <v>221</v>
      </c>
      <c r="S39" s="310"/>
      <c r="T39" s="310"/>
      <c r="U39" s="310"/>
      <c r="V39" s="162" t="s">
        <v>222</v>
      </c>
      <c r="W39" s="162" t="s">
        <v>223</v>
      </c>
      <c r="X39" s="163" t="s">
        <v>224</v>
      </c>
    </row>
    <row r="40" spans="1:24" ht="14.25" customHeight="1" thickBot="1">
      <c r="A40" s="1"/>
      <c r="B40" s="1"/>
      <c r="C40" s="1"/>
      <c r="D40" s="355" t="s">
        <v>231</v>
      </c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7"/>
      <c r="Q40" s="49">
        <f>Q38/SUM(R40:X40)</f>
        <v>12.302610412926395</v>
      </c>
      <c r="R40" s="398">
        <f>(31)*1.7</f>
        <v>52.699999999999996</v>
      </c>
      <c r="S40" s="312"/>
      <c r="T40" s="312"/>
      <c r="U40" s="312"/>
      <c r="V40" s="164">
        <f>(0)*1</f>
        <v>0</v>
      </c>
      <c r="W40" s="164">
        <f>(0)*0.58</f>
        <v>0</v>
      </c>
      <c r="X40" s="79">
        <f>3*1</f>
        <v>3</v>
      </c>
    </row>
    <row r="41" spans="1:24" ht="14.25" customHeight="1" thickBot="1">
      <c r="A41" s="1"/>
      <c r="B41" s="1"/>
      <c r="C41" s="1"/>
      <c r="D41" s="372" t="s">
        <v>232</v>
      </c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4"/>
      <c r="Q41" s="59">
        <f>Q40/Q216</f>
        <v>0.89976246196628684</v>
      </c>
      <c r="R41" s="348"/>
      <c r="S41" s="349"/>
      <c r="T41" s="349"/>
      <c r="U41" s="349"/>
      <c r="V41" s="349"/>
      <c r="W41" s="349"/>
      <c r="X41" s="349"/>
    </row>
    <row r="42" spans="1:24" ht="14.25" customHeight="1" thickBot="1">
      <c r="A42" s="1"/>
      <c r="B42" s="1"/>
      <c r="C42" s="1"/>
      <c r="D42" s="345" t="s">
        <v>233</v>
      </c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7"/>
      <c r="Q42" s="170">
        <f>Q39+Q41+Q51</f>
        <v>2.7972624619662869</v>
      </c>
      <c r="R42" s="348"/>
      <c r="S42" s="349"/>
      <c r="T42" s="349"/>
      <c r="U42" s="349"/>
      <c r="V42" s="349"/>
      <c r="W42" s="349"/>
      <c r="X42" s="349"/>
    </row>
    <row r="43" spans="1:24" ht="14.25" customHeight="1" thickBot="1">
      <c r="A43" s="1"/>
      <c r="B43" s="1"/>
      <c r="C43" s="1"/>
      <c r="D43" s="316" t="s">
        <v>254</v>
      </c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8"/>
      <c r="Q43" s="173">
        <f>Q38/Q213</f>
        <v>6.2469756335387878E-2</v>
      </c>
      <c r="R43" s="165"/>
      <c r="S43" s="165"/>
      <c r="T43" s="165"/>
      <c r="U43" s="165"/>
      <c r="V43" s="165"/>
      <c r="W43" s="165"/>
      <c r="X43" s="165"/>
    </row>
    <row r="44" spans="1:24" ht="14.25" customHeight="1" thickBot="1">
      <c r="A44" s="1"/>
      <c r="B44" s="1"/>
      <c r="C44" s="1"/>
      <c r="D44" s="303" t="s">
        <v>255</v>
      </c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5"/>
      <c r="Q44" s="173">
        <f>Q42/Q217</f>
        <v>0.15540950010747867</v>
      </c>
      <c r="R44" s="165"/>
      <c r="S44" s="165"/>
      <c r="T44" s="165"/>
      <c r="U44" s="165"/>
      <c r="V44" s="165"/>
      <c r="W44" s="165"/>
      <c r="X44" s="165"/>
    </row>
    <row r="45" spans="1:24" ht="14.25" customHeight="1" thickBot="1">
      <c r="A45" s="1"/>
      <c r="B45" s="1"/>
      <c r="C45" s="1"/>
      <c r="D45" s="298" t="s">
        <v>256</v>
      </c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300"/>
      <c r="Q45" s="174">
        <f>((Q43*0.8)+(Q44*0.2))</f>
        <v>8.1057705089806045E-2</v>
      </c>
      <c r="R45" s="165"/>
      <c r="S45" s="165"/>
      <c r="T45" s="165"/>
      <c r="U45" s="165"/>
      <c r="V45" s="165"/>
      <c r="W45" s="165"/>
      <c r="X45" s="165"/>
    </row>
    <row r="46" spans="1:24" ht="15.75" customHeight="1">
      <c r="A46" s="1"/>
      <c r="B46" s="1"/>
      <c r="C46" s="1"/>
      <c r="D46" s="319" t="s">
        <v>39</v>
      </c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1"/>
      <c r="V46" s="315"/>
      <c r="W46" s="315"/>
      <c r="X46" s="315"/>
    </row>
    <row r="47" spans="1:24" ht="3.95" customHeight="1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402"/>
      <c r="W47" s="402"/>
      <c r="X47" s="402"/>
    </row>
    <row r="48" spans="1:24" ht="27" customHeight="1" thickBot="1">
      <c r="A48" s="1"/>
      <c r="B48" s="1"/>
      <c r="C48" s="1"/>
      <c r="D48" s="18" t="s">
        <v>5</v>
      </c>
      <c r="E48" s="19"/>
      <c r="F48" s="20" t="s">
        <v>6</v>
      </c>
      <c r="G48" s="19"/>
      <c r="H48" s="21" t="s">
        <v>7</v>
      </c>
      <c r="I48" s="19"/>
      <c r="J48" s="21" t="s">
        <v>8</v>
      </c>
      <c r="K48" s="19"/>
      <c r="L48" s="21" t="s">
        <v>9</v>
      </c>
      <c r="M48" s="19"/>
      <c r="N48" s="21" t="s">
        <v>10</v>
      </c>
      <c r="O48" s="19"/>
      <c r="P48" s="50" t="s">
        <v>11</v>
      </c>
      <c r="Q48" s="17" t="s">
        <v>173</v>
      </c>
      <c r="R48" s="321" t="s">
        <v>171</v>
      </c>
      <c r="S48" s="321"/>
      <c r="T48" s="321"/>
      <c r="U48" s="341"/>
      <c r="V48" s="106" t="s">
        <v>195</v>
      </c>
      <c r="W48" s="107"/>
      <c r="X48" s="108"/>
    </row>
    <row r="49" spans="1:24" ht="14.25" customHeight="1" thickBot="1">
      <c r="A49" s="1"/>
      <c r="B49" s="1"/>
      <c r="C49" s="1"/>
      <c r="D49" s="52" t="s">
        <v>40</v>
      </c>
      <c r="E49" s="53"/>
      <c r="F49" s="54" t="s">
        <v>41</v>
      </c>
      <c r="G49" s="53"/>
      <c r="H49" s="55" t="s">
        <v>25</v>
      </c>
      <c r="I49" s="53"/>
      <c r="J49" s="55">
        <v>0</v>
      </c>
      <c r="K49" s="53"/>
      <c r="L49" s="55">
        <v>0</v>
      </c>
      <c r="M49" s="53"/>
      <c r="N49" s="55">
        <v>16</v>
      </c>
      <c r="O49" s="53"/>
      <c r="P49" s="56">
        <v>0</v>
      </c>
      <c r="Q49" s="30">
        <f>((N49)*1)</f>
        <v>16</v>
      </c>
      <c r="R49" s="350">
        <f>(Q49/Q38)</f>
        <v>2.3348958651037258E-2</v>
      </c>
      <c r="S49" s="350"/>
      <c r="T49" s="350"/>
      <c r="U49" s="350"/>
      <c r="V49" s="109">
        <v>3</v>
      </c>
      <c r="W49" s="110"/>
      <c r="X49" s="161">
        <f>V49/Q215</f>
        <v>0.9375</v>
      </c>
    </row>
    <row r="50" spans="1:24" ht="15" customHeight="1" thickBot="1">
      <c r="A50" s="1"/>
      <c r="B50" s="1"/>
      <c r="C50" s="1"/>
      <c r="D50" s="313" t="s">
        <v>183</v>
      </c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57">
        <f>Q49</f>
        <v>16</v>
      </c>
      <c r="R50" s="351">
        <f>R49</f>
        <v>2.3348958651037258E-2</v>
      </c>
      <c r="S50" s="296"/>
      <c r="T50" s="296"/>
      <c r="U50" s="297"/>
      <c r="V50" s="392"/>
      <c r="W50" s="393"/>
      <c r="X50" s="394"/>
    </row>
    <row r="51" spans="1:24" ht="15" customHeight="1" thickBot="1">
      <c r="A51" s="1"/>
      <c r="B51" s="1"/>
      <c r="C51" s="1"/>
      <c r="D51" s="298" t="s">
        <v>219</v>
      </c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300"/>
      <c r="Q51" s="352">
        <f>SUM(X49)/1</f>
        <v>0.9375</v>
      </c>
      <c r="R51" s="353"/>
      <c r="S51" s="353"/>
      <c r="T51" s="353"/>
      <c r="U51" s="354"/>
      <c r="V51" s="401"/>
      <c r="W51" s="402"/>
      <c r="X51" s="403"/>
    </row>
    <row r="52" spans="1:24" ht="17.25" customHeight="1">
      <c r="A52" s="1"/>
      <c r="B52" s="1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1"/>
      <c r="T52" s="1"/>
      <c r="U52" s="1"/>
      <c r="V52" s="393"/>
      <c r="W52" s="393"/>
      <c r="X52" s="393"/>
    </row>
    <row r="53" spans="1:24" ht="15.75" customHeight="1">
      <c r="A53" s="1"/>
      <c r="B53" s="1"/>
      <c r="C53" s="1"/>
      <c r="D53" s="287" t="s">
        <v>42</v>
      </c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1"/>
      <c r="U53" s="1"/>
      <c r="V53" s="315"/>
      <c r="W53" s="315"/>
      <c r="X53" s="315"/>
    </row>
    <row r="54" spans="1:24" ht="12" customHeight="1">
      <c r="A54" s="1"/>
      <c r="B54" s="1"/>
      <c r="C54" s="1"/>
      <c r="D54" s="319" t="s">
        <v>43</v>
      </c>
      <c r="E54" s="319"/>
      <c r="F54" s="319"/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1"/>
      <c r="V54" s="315"/>
      <c r="W54" s="315"/>
      <c r="X54" s="315"/>
    </row>
    <row r="55" spans="1:24" ht="3.95" customHeight="1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402"/>
      <c r="W55" s="402"/>
      <c r="X55" s="402"/>
    </row>
    <row r="56" spans="1:24" ht="27" customHeight="1">
      <c r="A56" s="1"/>
      <c r="B56" s="1"/>
      <c r="C56" s="1"/>
      <c r="D56" s="18" t="s">
        <v>5</v>
      </c>
      <c r="E56" s="19"/>
      <c r="F56" s="20" t="s">
        <v>6</v>
      </c>
      <c r="G56" s="19"/>
      <c r="H56" s="21" t="s">
        <v>7</v>
      </c>
      <c r="I56" s="19"/>
      <c r="J56" s="21" t="s">
        <v>8</v>
      </c>
      <c r="K56" s="19"/>
      <c r="L56" s="21" t="s">
        <v>9</v>
      </c>
      <c r="M56" s="19"/>
      <c r="N56" s="21" t="s">
        <v>10</v>
      </c>
      <c r="O56" s="19"/>
      <c r="P56" s="50" t="s">
        <v>11</v>
      </c>
      <c r="Q56" s="17" t="s">
        <v>167</v>
      </c>
      <c r="R56" s="320" t="s">
        <v>171</v>
      </c>
      <c r="S56" s="321"/>
      <c r="T56" s="321"/>
      <c r="U56" s="321"/>
      <c r="V56" s="67" t="s">
        <v>191</v>
      </c>
      <c r="W56" s="68" t="s">
        <v>193</v>
      </c>
      <c r="X56" s="69" t="s">
        <v>194</v>
      </c>
    </row>
    <row r="57" spans="1:24" ht="13.5" customHeight="1" thickBot="1">
      <c r="A57" s="1"/>
      <c r="B57" s="1"/>
      <c r="C57" s="1"/>
      <c r="D57" s="23" t="s">
        <v>44</v>
      </c>
      <c r="E57" s="1"/>
      <c r="F57" s="6" t="s">
        <v>45</v>
      </c>
      <c r="G57" s="1"/>
      <c r="H57" s="7" t="s">
        <v>25</v>
      </c>
      <c r="I57" s="1"/>
      <c r="J57" s="7">
        <v>0</v>
      </c>
      <c r="K57" s="1"/>
      <c r="L57" s="7">
        <v>0</v>
      </c>
      <c r="M57" s="1"/>
      <c r="N57" s="7">
        <v>129</v>
      </c>
      <c r="O57" s="1"/>
      <c r="P57" s="51">
        <v>0</v>
      </c>
      <c r="Q57" s="27">
        <f>((N57)*1*1*1.1)</f>
        <v>141.9</v>
      </c>
      <c r="R57" s="322">
        <f>(Q57/Q$65)</f>
        <v>0.12569035304617635</v>
      </c>
      <c r="S57" s="323"/>
      <c r="T57" s="323"/>
      <c r="U57" s="323"/>
      <c r="V57" s="72">
        <v>3</v>
      </c>
      <c r="W57" s="65">
        <v>0</v>
      </c>
      <c r="X57" s="71">
        <f>(V57/Q214)</f>
        <v>0.96</v>
      </c>
    </row>
    <row r="58" spans="1:24" ht="11.25" customHeight="1" thickBot="1">
      <c r="A58" s="1"/>
      <c r="B58" s="1"/>
      <c r="C58" s="1"/>
      <c r="D58" s="23" t="s">
        <v>46</v>
      </c>
      <c r="E58" s="1"/>
      <c r="F58" s="6" t="s">
        <v>47</v>
      </c>
      <c r="G58" s="1"/>
      <c r="H58" s="7" t="s">
        <v>25</v>
      </c>
      <c r="I58" s="1"/>
      <c r="J58" s="7">
        <v>50</v>
      </c>
      <c r="K58" s="1"/>
      <c r="L58" s="7">
        <v>50</v>
      </c>
      <c r="M58" s="1"/>
      <c r="N58" s="7">
        <v>204</v>
      </c>
      <c r="O58" s="1"/>
      <c r="P58" s="51">
        <v>14</v>
      </c>
      <c r="Q58" s="27">
        <f>(((P58)*(1+0.82)+(((L58)-(P58))/4))*2*5*1*1.1)</f>
        <v>379.28</v>
      </c>
      <c r="R58" s="322">
        <f t="shared" ref="R58:R63" si="0">(Q58/Q$65)</f>
        <v>0.3359537498474543</v>
      </c>
      <c r="S58" s="323"/>
      <c r="T58" s="323"/>
      <c r="U58" s="323"/>
      <c r="V58" s="72">
        <v>4</v>
      </c>
      <c r="W58" s="65" t="s">
        <v>189</v>
      </c>
      <c r="X58" s="71">
        <f>(V58/Q214)</f>
        <v>1.28</v>
      </c>
    </row>
    <row r="59" spans="1:24" ht="12.75" customHeight="1" thickBot="1">
      <c r="A59" s="1"/>
      <c r="B59" s="1"/>
      <c r="C59" s="1"/>
      <c r="D59" s="23" t="s">
        <v>48</v>
      </c>
      <c r="E59" s="1"/>
      <c r="F59" s="6" t="s">
        <v>49</v>
      </c>
      <c r="G59" s="1"/>
      <c r="H59" s="7" t="s">
        <v>34</v>
      </c>
      <c r="I59" s="1"/>
      <c r="J59" s="7">
        <v>50</v>
      </c>
      <c r="K59" s="1"/>
      <c r="L59" s="7">
        <v>50</v>
      </c>
      <c r="M59" s="1"/>
      <c r="N59" s="7">
        <v>116</v>
      </c>
      <c r="O59" s="1"/>
      <c r="P59" s="51">
        <v>0</v>
      </c>
      <c r="Q59" s="27">
        <f>((N59)*1.5*1*1.1)</f>
        <v>191.4</v>
      </c>
      <c r="R59" s="322">
        <f t="shared" si="0"/>
        <v>0.16953582503902856</v>
      </c>
      <c r="S59" s="323"/>
      <c r="T59" s="323"/>
      <c r="U59" s="323"/>
      <c r="V59" s="72">
        <v>3</v>
      </c>
      <c r="W59" s="65">
        <v>0</v>
      </c>
      <c r="X59" s="71">
        <f>(V59/Q214)</f>
        <v>0.96</v>
      </c>
    </row>
    <row r="60" spans="1:24" ht="12.75" customHeight="1" thickBot="1">
      <c r="A60" s="1"/>
      <c r="B60" s="1"/>
      <c r="C60" s="1"/>
      <c r="D60" s="23" t="s">
        <v>50</v>
      </c>
      <c r="E60" s="1"/>
      <c r="F60" s="6" t="s">
        <v>51</v>
      </c>
      <c r="G60" s="1"/>
      <c r="H60" s="7" t="s">
        <v>16</v>
      </c>
      <c r="I60" s="1"/>
      <c r="J60" s="7">
        <v>50</v>
      </c>
      <c r="K60" s="1"/>
      <c r="L60" s="7">
        <v>50</v>
      </c>
      <c r="M60" s="1"/>
      <c r="N60" s="7">
        <v>163</v>
      </c>
      <c r="O60" s="1"/>
      <c r="P60" s="51">
        <v>3</v>
      </c>
      <c r="Q60" s="27">
        <f>(((P60)*(1+0.1325)+(((L60)-(P60))/4))*2*4*1.15*1.1)</f>
        <v>153.29270000000002</v>
      </c>
      <c r="R60" s="322">
        <f t="shared" si="0"/>
        <v>0.13578163201128682</v>
      </c>
      <c r="S60" s="323"/>
      <c r="T60" s="323"/>
      <c r="U60" s="323"/>
      <c r="V60" s="72">
        <v>3</v>
      </c>
      <c r="W60" s="65"/>
      <c r="X60" s="71">
        <f>(V60/Q214)</f>
        <v>0.96</v>
      </c>
    </row>
    <row r="61" spans="1:24" ht="13.5" customHeight="1" thickBot="1">
      <c r="A61" s="1"/>
      <c r="B61" s="1"/>
      <c r="C61" s="1"/>
      <c r="D61" s="23" t="s">
        <v>50</v>
      </c>
      <c r="E61" s="1"/>
      <c r="F61" s="6" t="s">
        <v>52</v>
      </c>
      <c r="G61" s="1"/>
      <c r="H61" s="7" t="s">
        <v>25</v>
      </c>
      <c r="I61" s="1"/>
      <c r="J61" s="7">
        <v>0</v>
      </c>
      <c r="K61" s="1"/>
      <c r="L61" s="7">
        <v>0</v>
      </c>
      <c r="M61" s="1"/>
      <c r="N61" s="7">
        <v>28</v>
      </c>
      <c r="O61" s="1"/>
      <c r="P61" s="51">
        <v>0</v>
      </c>
      <c r="Q61" s="27">
        <f>((N61)*2*1*1.1)</f>
        <v>61.600000000000009</v>
      </c>
      <c r="R61" s="322">
        <f t="shared" si="0"/>
        <v>5.456325403554943E-2</v>
      </c>
      <c r="S61" s="323"/>
      <c r="T61" s="323"/>
      <c r="U61" s="323"/>
      <c r="V61" s="72">
        <v>3</v>
      </c>
      <c r="W61" s="65">
        <v>0</v>
      </c>
      <c r="X61" s="71">
        <f>(V61/Q214)</f>
        <v>0.96</v>
      </c>
    </row>
    <row r="62" spans="1:24" ht="11.25" customHeight="1" thickBot="1">
      <c r="A62" s="1"/>
      <c r="B62" s="1"/>
      <c r="C62" s="1"/>
      <c r="D62" s="23" t="s">
        <v>53</v>
      </c>
      <c r="E62" s="1"/>
      <c r="F62" s="6" t="s">
        <v>54</v>
      </c>
      <c r="G62" s="1"/>
      <c r="H62" s="7" t="s">
        <v>16</v>
      </c>
      <c r="I62" s="1"/>
      <c r="J62" s="7">
        <v>50</v>
      </c>
      <c r="K62" s="1"/>
      <c r="L62" s="7">
        <v>30</v>
      </c>
      <c r="M62" s="1"/>
      <c r="N62" s="7">
        <v>172</v>
      </c>
      <c r="O62" s="1"/>
      <c r="P62" s="51">
        <v>7</v>
      </c>
      <c r="Q62" s="27">
        <f>(((P62)*(1+0.1325)+(((L62)-(P62))/4))*1.5*4*1.15*1.1)</f>
        <v>103.812225</v>
      </c>
      <c r="R62" s="322">
        <f t="shared" si="0"/>
        <v>9.1953454621276215E-2</v>
      </c>
      <c r="S62" s="323"/>
      <c r="T62" s="323"/>
      <c r="U62" s="323"/>
      <c r="V62" s="72">
        <v>4</v>
      </c>
      <c r="W62" s="65"/>
      <c r="X62" s="71">
        <f>(V62/Q214)</f>
        <v>1.28</v>
      </c>
    </row>
    <row r="63" spans="1:24" ht="13.5" customHeight="1" thickBot="1">
      <c r="A63" s="1"/>
      <c r="B63" s="1"/>
      <c r="C63" s="1"/>
      <c r="D63" s="52" t="s">
        <v>55</v>
      </c>
      <c r="E63" s="53"/>
      <c r="F63" s="54" t="s">
        <v>56</v>
      </c>
      <c r="G63" s="53"/>
      <c r="H63" s="55" t="s">
        <v>14</v>
      </c>
      <c r="I63" s="53"/>
      <c r="J63" s="55">
        <v>40</v>
      </c>
      <c r="K63" s="53"/>
      <c r="L63" s="55">
        <v>48</v>
      </c>
      <c r="M63" s="53"/>
      <c r="N63" s="55">
        <v>250</v>
      </c>
      <c r="O63" s="53"/>
      <c r="P63" s="56">
        <v>12</v>
      </c>
      <c r="Q63" s="58">
        <f>(((P63)*(1+0.1)+(((L63)-(P63))/4))*1*4*1*1.1)</f>
        <v>97.680000000000021</v>
      </c>
      <c r="R63" s="322">
        <f t="shared" si="0"/>
        <v>8.6521731399228391E-2</v>
      </c>
      <c r="S63" s="323"/>
      <c r="T63" s="323"/>
      <c r="U63" s="323"/>
      <c r="V63" s="73">
        <v>4</v>
      </c>
      <c r="W63" s="78"/>
      <c r="X63" s="79">
        <f>(V63/Q214)</f>
        <v>1.28</v>
      </c>
    </row>
    <row r="64" spans="1:24" ht="13.5" customHeight="1" thickBot="1">
      <c r="A64" s="1"/>
      <c r="B64" s="1"/>
      <c r="C64" s="1"/>
      <c r="D64" s="313" t="s">
        <v>175</v>
      </c>
      <c r="E64" s="314"/>
      <c r="F64" s="314"/>
      <c r="G64" s="314"/>
      <c r="H64" s="314"/>
      <c r="I64" s="314"/>
      <c r="J64" s="314"/>
      <c r="K64" s="314"/>
      <c r="L64" s="314"/>
      <c r="M64" s="314"/>
      <c r="N64" s="314"/>
      <c r="O64" s="314"/>
      <c r="P64" s="314"/>
      <c r="Q64" s="59">
        <f>SUM(Q57:Q63)</f>
        <v>1128.964925</v>
      </c>
      <c r="R64" s="339">
        <f>(Q64/Q$65)</f>
        <v>1</v>
      </c>
      <c r="S64" s="340"/>
      <c r="T64" s="340"/>
      <c r="U64" s="340"/>
      <c r="V64" s="392"/>
      <c r="W64" s="393"/>
      <c r="X64" s="394"/>
    </row>
    <row r="65" spans="1:24" ht="13.5" customHeight="1" thickBot="1">
      <c r="A65" s="1"/>
      <c r="B65" s="1"/>
      <c r="C65" s="1"/>
      <c r="D65" s="301" t="s">
        <v>184</v>
      </c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Q65" s="49">
        <f>SUM(Q57:Q63)</f>
        <v>1128.964925</v>
      </c>
      <c r="R65" s="360">
        <f>(Q65/TAEj!B20)</f>
        <v>0.10291953011380785</v>
      </c>
      <c r="S65" s="361"/>
      <c r="T65" s="361"/>
      <c r="U65" s="361"/>
      <c r="V65" s="395"/>
      <c r="W65" s="396"/>
      <c r="X65" s="397"/>
    </row>
    <row r="66" spans="1:24" ht="13.5" customHeight="1" thickBot="1">
      <c r="A66" s="1"/>
      <c r="B66" s="1"/>
      <c r="C66" s="1"/>
      <c r="D66" s="342" t="s">
        <v>198</v>
      </c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344"/>
      <c r="Q66" s="105">
        <f>SUM(X57:X63)/7</f>
        <v>1.0971428571428572</v>
      </c>
      <c r="R66" s="309" t="s">
        <v>221</v>
      </c>
      <c r="S66" s="310"/>
      <c r="T66" s="310"/>
      <c r="U66" s="310"/>
      <c r="V66" s="162" t="s">
        <v>222</v>
      </c>
      <c r="W66" s="162" t="s">
        <v>223</v>
      </c>
      <c r="X66" s="163" t="s">
        <v>224</v>
      </c>
    </row>
    <row r="67" spans="1:24" ht="12.75" customHeight="1" thickBot="1">
      <c r="A67" s="1"/>
      <c r="B67" s="1"/>
      <c r="C67" s="1"/>
      <c r="D67" s="355" t="s">
        <v>225</v>
      </c>
      <c r="E67" s="356"/>
      <c r="F67" s="356"/>
      <c r="G67" s="356"/>
      <c r="H67" s="356"/>
      <c r="I67" s="356"/>
      <c r="J67" s="356"/>
      <c r="K67" s="356"/>
      <c r="L67" s="356"/>
      <c r="M67" s="356"/>
      <c r="N67" s="356"/>
      <c r="O67" s="356"/>
      <c r="P67" s="357"/>
      <c r="Q67" s="176">
        <f>Q65/SUM(R67:X67)</f>
        <v>12.684999157303372</v>
      </c>
      <c r="R67" s="311">
        <f>(10+8+9+8+11+4)*1.7</f>
        <v>85</v>
      </c>
      <c r="S67" s="312"/>
      <c r="T67" s="312"/>
      <c r="U67" s="312"/>
      <c r="V67" s="164">
        <v>0</v>
      </c>
      <c r="W67" s="164">
        <v>0</v>
      </c>
      <c r="X67" s="79">
        <f>4*1</f>
        <v>4</v>
      </c>
    </row>
    <row r="68" spans="1:24" ht="12.75" customHeight="1" thickBot="1">
      <c r="A68" s="1"/>
      <c r="B68" s="1"/>
      <c r="C68" s="1"/>
      <c r="D68" s="372" t="s">
        <v>220</v>
      </c>
      <c r="E68" s="373"/>
      <c r="F68" s="373"/>
      <c r="G68" s="373"/>
      <c r="H68" s="373"/>
      <c r="I68" s="373"/>
      <c r="J68" s="373"/>
      <c r="K68" s="373"/>
      <c r="L68" s="373"/>
      <c r="M68" s="373"/>
      <c r="N68" s="373"/>
      <c r="O68" s="373"/>
      <c r="P68" s="374"/>
      <c r="Q68" s="59">
        <f>Q67/Q216</f>
        <v>0.92772880622338216</v>
      </c>
      <c r="R68" s="404"/>
      <c r="S68" s="405"/>
      <c r="T68" s="405"/>
      <c r="U68" s="405"/>
      <c r="V68" s="405"/>
      <c r="W68" s="405"/>
      <c r="X68" s="405"/>
    </row>
    <row r="69" spans="1:24" ht="12.75" customHeight="1" thickBot="1">
      <c r="A69" s="1"/>
      <c r="B69" s="1"/>
      <c r="C69" s="1"/>
      <c r="D69" s="345" t="s">
        <v>226</v>
      </c>
      <c r="E69" s="346"/>
      <c r="F69" s="346"/>
      <c r="G69" s="346"/>
      <c r="H69" s="346"/>
      <c r="I69" s="346"/>
      <c r="J69" s="346"/>
      <c r="K69" s="346"/>
      <c r="L69" s="346"/>
      <c r="M69" s="346"/>
      <c r="N69" s="346"/>
      <c r="O69" s="346"/>
      <c r="P69" s="347"/>
      <c r="Q69" s="170">
        <f>Q66+Q68</f>
        <v>2.0248716633662394</v>
      </c>
      <c r="R69" s="406"/>
      <c r="S69" s="407"/>
      <c r="T69" s="407"/>
      <c r="U69" s="407"/>
      <c r="V69" s="407"/>
      <c r="W69" s="407"/>
      <c r="X69" s="407"/>
    </row>
    <row r="70" spans="1:24" ht="12.75" customHeight="1" thickBot="1">
      <c r="A70" s="1"/>
      <c r="B70" s="1"/>
      <c r="C70" s="1"/>
      <c r="D70" s="316" t="s">
        <v>257</v>
      </c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317"/>
      <c r="P70" s="318"/>
      <c r="Q70" s="173">
        <f>Q65/Q213</f>
        <v>0.10291953011380785</v>
      </c>
      <c r="R70" s="148"/>
      <c r="S70" s="148"/>
      <c r="T70" s="148"/>
      <c r="U70" s="148"/>
      <c r="V70" s="148"/>
      <c r="W70" s="148"/>
      <c r="X70" s="148"/>
    </row>
    <row r="71" spans="1:24" ht="12.75" customHeight="1" thickBot="1">
      <c r="A71" s="1"/>
      <c r="B71" s="1"/>
      <c r="C71" s="1"/>
      <c r="D71" s="303" t="s">
        <v>258</v>
      </c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5"/>
      <c r="Q71" s="173">
        <f>Q69/Q217</f>
        <v>0.11249723515910059</v>
      </c>
      <c r="R71" s="148"/>
      <c r="S71" s="148"/>
      <c r="T71" s="148"/>
      <c r="U71" s="148"/>
      <c r="V71" s="148"/>
      <c r="W71" s="148"/>
      <c r="X71" s="148"/>
    </row>
    <row r="72" spans="1:24" ht="12.75" customHeight="1" thickBot="1">
      <c r="A72" s="1"/>
      <c r="B72" s="1"/>
      <c r="C72" s="1"/>
      <c r="D72" s="298" t="s">
        <v>259</v>
      </c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300"/>
      <c r="Q72" s="174">
        <f>((Q70*0.8)+(Q71*0.2))</f>
        <v>0.1048350711228664</v>
      </c>
      <c r="R72" s="148"/>
      <c r="S72" s="148"/>
      <c r="T72" s="148"/>
      <c r="U72" s="148"/>
      <c r="V72" s="175"/>
      <c r="W72" s="148"/>
      <c r="X72" s="175"/>
    </row>
    <row r="73" spans="1:24" ht="14.1" customHeight="1">
      <c r="A73" s="1"/>
      <c r="B73" s="1"/>
      <c r="C73" s="287" t="s">
        <v>57</v>
      </c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1"/>
      <c r="T73" s="1"/>
      <c r="U73" s="1"/>
      <c r="V73" s="315"/>
      <c r="W73" s="315"/>
      <c r="X73" s="315"/>
    </row>
    <row r="74" spans="1:24" ht="0.9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315"/>
      <c r="W74" s="315"/>
      <c r="X74" s="315"/>
    </row>
    <row r="75" spans="1:24" ht="12" customHeight="1">
      <c r="A75" s="1"/>
      <c r="B75" s="1"/>
      <c r="C75" s="1"/>
      <c r="D75" s="319" t="s">
        <v>58</v>
      </c>
      <c r="E75" s="319"/>
      <c r="F75" s="319"/>
      <c r="G75" s="319"/>
      <c r="H75" s="319"/>
      <c r="I75" s="319"/>
      <c r="J75" s="319"/>
      <c r="K75" s="319"/>
      <c r="L75" s="319"/>
      <c r="M75" s="319"/>
      <c r="N75" s="319"/>
      <c r="O75" s="319"/>
      <c r="P75" s="319"/>
      <c r="Q75" s="319"/>
      <c r="R75" s="319"/>
      <c r="S75" s="319"/>
      <c r="T75" s="319"/>
      <c r="U75" s="1"/>
      <c r="V75" s="315"/>
      <c r="W75" s="315"/>
      <c r="X75" s="315"/>
    </row>
    <row r="76" spans="1:24" ht="3.95" customHeight="1" thickBo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402"/>
      <c r="W76" s="402"/>
      <c r="X76" s="402"/>
    </row>
    <row r="77" spans="1:24" ht="27" customHeight="1" thickBot="1">
      <c r="A77" s="1"/>
      <c r="B77" s="1"/>
      <c r="C77" s="1"/>
      <c r="D77" s="18" t="s">
        <v>5</v>
      </c>
      <c r="E77" s="19"/>
      <c r="F77" s="20" t="s">
        <v>6</v>
      </c>
      <c r="G77" s="19"/>
      <c r="H77" s="21" t="s">
        <v>7</v>
      </c>
      <c r="I77" s="19"/>
      <c r="J77" s="21" t="s">
        <v>8</v>
      </c>
      <c r="K77" s="19"/>
      <c r="L77" s="21" t="s">
        <v>9</v>
      </c>
      <c r="M77" s="19"/>
      <c r="N77" s="21" t="s">
        <v>10</v>
      </c>
      <c r="O77" s="19"/>
      <c r="P77" s="50" t="s">
        <v>11</v>
      </c>
      <c r="Q77" s="32" t="s">
        <v>167</v>
      </c>
      <c r="R77" s="334" t="s">
        <v>171</v>
      </c>
      <c r="S77" s="335"/>
      <c r="T77" s="335"/>
      <c r="U77" s="335"/>
      <c r="V77" s="67" t="s">
        <v>191</v>
      </c>
      <c r="W77" s="68" t="s">
        <v>193</v>
      </c>
      <c r="X77" s="69" t="s">
        <v>194</v>
      </c>
    </row>
    <row r="78" spans="1:24" ht="12.75" customHeight="1">
      <c r="A78" s="1"/>
      <c r="B78" s="1"/>
      <c r="C78" s="1"/>
      <c r="D78" s="23" t="s">
        <v>59</v>
      </c>
      <c r="E78" s="1"/>
      <c r="F78" s="6" t="s">
        <v>60</v>
      </c>
      <c r="G78" s="1"/>
      <c r="H78" s="7" t="s">
        <v>25</v>
      </c>
      <c r="I78" s="1"/>
      <c r="J78" s="7">
        <v>32</v>
      </c>
      <c r="K78" s="1"/>
      <c r="L78" s="7">
        <v>43</v>
      </c>
      <c r="M78" s="1"/>
      <c r="N78" s="7">
        <v>218</v>
      </c>
      <c r="O78" s="1"/>
      <c r="P78" s="51">
        <v>14</v>
      </c>
      <c r="Q78" s="33">
        <f>(((P78)*(1+0.05)+(((L78)-(P78))/4))*2*5*1*1.1)</f>
        <v>241.45000000000005</v>
      </c>
      <c r="R78" s="362">
        <f>(Q78/Q$84)</f>
        <v>0.15674093116252502</v>
      </c>
      <c r="S78" s="363"/>
      <c r="T78" s="363"/>
      <c r="U78" s="364"/>
      <c r="V78" s="72">
        <v>4</v>
      </c>
      <c r="W78" s="65"/>
      <c r="X78" s="71">
        <f>(V78/Q214)</f>
        <v>1.28</v>
      </c>
    </row>
    <row r="79" spans="1:24" ht="12.75" customHeight="1">
      <c r="A79" s="1"/>
      <c r="B79" s="1"/>
      <c r="C79" s="1"/>
      <c r="D79" s="23" t="s">
        <v>61</v>
      </c>
      <c r="E79" s="1"/>
      <c r="F79" s="6" t="s">
        <v>62</v>
      </c>
      <c r="G79" s="1"/>
      <c r="H79" s="7" t="s">
        <v>25</v>
      </c>
      <c r="I79" s="1"/>
      <c r="J79" s="7">
        <v>39</v>
      </c>
      <c r="K79" s="1"/>
      <c r="L79" s="7">
        <v>40</v>
      </c>
      <c r="M79" s="1"/>
      <c r="N79" s="7">
        <v>174</v>
      </c>
      <c r="O79" s="1"/>
      <c r="P79" s="51">
        <v>0</v>
      </c>
      <c r="Q79" s="34">
        <f>((N79)*2*1*1.1)</f>
        <v>382.8</v>
      </c>
      <c r="R79" s="306">
        <f>(Q79/Q$84)</f>
        <v>0.24850042844901457</v>
      </c>
      <c r="S79" s="307"/>
      <c r="T79" s="307"/>
      <c r="U79" s="308"/>
      <c r="V79" s="72">
        <v>3</v>
      </c>
      <c r="W79" s="65" t="s">
        <v>189</v>
      </c>
      <c r="X79" s="71">
        <f>(V79/Q214)</f>
        <v>0.96</v>
      </c>
    </row>
    <row r="80" spans="1:24" ht="13.5" customHeight="1">
      <c r="A80" s="1"/>
      <c r="B80" s="1"/>
      <c r="C80" s="1"/>
      <c r="D80" s="23" t="s">
        <v>63</v>
      </c>
      <c r="E80" s="1"/>
      <c r="F80" s="6" t="s">
        <v>64</v>
      </c>
      <c r="G80" s="1"/>
      <c r="H80" s="7" t="s">
        <v>16</v>
      </c>
      <c r="I80" s="1"/>
      <c r="J80" s="7">
        <v>50</v>
      </c>
      <c r="K80" s="1"/>
      <c r="L80" s="7">
        <v>52</v>
      </c>
      <c r="M80" s="1"/>
      <c r="N80" s="7">
        <v>128</v>
      </c>
      <c r="O80" s="1"/>
      <c r="P80" s="51">
        <v>0</v>
      </c>
      <c r="Q80" s="34">
        <f>((N80)*1*1.15*1.1)</f>
        <v>161.91999999999999</v>
      </c>
      <c r="R80" s="306">
        <f>(Q80/Q$84)</f>
        <v>0.10511282490716937</v>
      </c>
      <c r="S80" s="307"/>
      <c r="T80" s="307"/>
      <c r="U80" s="308"/>
      <c r="V80" s="72">
        <v>3</v>
      </c>
      <c r="W80" s="65">
        <v>0</v>
      </c>
      <c r="X80" s="71">
        <f>(V80/Q214)</f>
        <v>0.96</v>
      </c>
    </row>
    <row r="81" spans="1:24" ht="13.5" customHeight="1">
      <c r="A81" s="1"/>
      <c r="B81" s="1"/>
      <c r="C81" s="1"/>
      <c r="D81" s="23" t="s">
        <v>65</v>
      </c>
      <c r="E81" s="1"/>
      <c r="F81" s="6" t="s">
        <v>66</v>
      </c>
      <c r="G81" s="1"/>
      <c r="H81" s="7" t="s">
        <v>25</v>
      </c>
      <c r="I81" s="1"/>
      <c r="J81" s="7">
        <v>50</v>
      </c>
      <c r="K81" s="1"/>
      <c r="L81" s="7">
        <v>50</v>
      </c>
      <c r="M81" s="1"/>
      <c r="N81" s="7">
        <v>93</v>
      </c>
      <c r="O81" s="1"/>
      <c r="P81" s="51">
        <v>0</v>
      </c>
      <c r="Q81" s="34">
        <f>((N81)*4.5*1*1.1)</f>
        <v>460.35</v>
      </c>
      <c r="R81" s="306">
        <f>(Q81/Q$84)</f>
        <v>0.29884318766066836</v>
      </c>
      <c r="S81" s="307"/>
      <c r="T81" s="307"/>
      <c r="U81" s="308"/>
      <c r="V81" s="72">
        <v>3</v>
      </c>
      <c r="W81" s="65">
        <v>0</v>
      </c>
      <c r="X81" s="71">
        <f>(V81/Q214)</f>
        <v>0.96</v>
      </c>
    </row>
    <row r="82" spans="1:24" ht="12.75" customHeight="1" thickBot="1">
      <c r="A82" s="1"/>
      <c r="B82" s="1"/>
      <c r="C82" s="1"/>
      <c r="D82" s="52" t="s">
        <v>67</v>
      </c>
      <c r="E82" s="53"/>
      <c r="F82" s="54" t="s">
        <v>68</v>
      </c>
      <c r="G82" s="53"/>
      <c r="H82" s="55" t="s">
        <v>34</v>
      </c>
      <c r="I82" s="53"/>
      <c r="J82" s="55">
        <v>50</v>
      </c>
      <c r="K82" s="53"/>
      <c r="L82" s="55">
        <v>53</v>
      </c>
      <c r="M82" s="53"/>
      <c r="N82" s="55">
        <v>262</v>
      </c>
      <c r="O82" s="53"/>
      <c r="P82" s="56">
        <v>63</v>
      </c>
      <c r="Q82" s="35">
        <f>(((P82)*(1+0.1)+(((L82)-(P82))/4))*1*4*1*1.1)</f>
        <v>293.92000000000007</v>
      </c>
      <c r="R82" s="367">
        <f>(Q82/Q$84)</f>
        <v>0.19080262782062271</v>
      </c>
      <c r="S82" s="368"/>
      <c r="T82" s="368"/>
      <c r="U82" s="369"/>
      <c r="V82" s="73">
        <v>3</v>
      </c>
      <c r="W82" s="78"/>
      <c r="X82" s="79">
        <f>(V82/Q214)</f>
        <v>0.96</v>
      </c>
    </row>
    <row r="83" spans="1:24" ht="12.75" customHeight="1" thickBot="1">
      <c r="A83" s="1"/>
      <c r="B83" s="1"/>
      <c r="C83" s="1"/>
      <c r="D83" s="313" t="s">
        <v>176</v>
      </c>
      <c r="E83" s="314"/>
      <c r="F83" s="314"/>
      <c r="G83" s="314"/>
      <c r="H83" s="314"/>
      <c r="I83" s="314"/>
      <c r="J83" s="314"/>
      <c r="K83" s="314"/>
      <c r="L83" s="314"/>
      <c r="M83" s="314"/>
      <c r="N83" s="314"/>
      <c r="O83" s="314"/>
      <c r="P83" s="314"/>
      <c r="Q83" s="61">
        <f>SUM(Q78:Q82)</f>
        <v>1540.44</v>
      </c>
      <c r="R83" s="377">
        <f>SUM(R78:U82)</f>
        <v>1</v>
      </c>
      <c r="S83" s="378"/>
      <c r="T83" s="378"/>
      <c r="U83" s="378"/>
      <c r="V83" s="392"/>
      <c r="W83" s="393"/>
      <c r="X83" s="394"/>
    </row>
    <row r="84" spans="1:24" ht="15" customHeight="1" thickBot="1">
      <c r="A84" s="1"/>
      <c r="B84" s="1"/>
      <c r="C84" s="1"/>
      <c r="D84" s="301" t="s">
        <v>185</v>
      </c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60">
        <f>SUM(Q78:Q82)</f>
        <v>1540.44</v>
      </c>
      <c r="R84" s="358">
        <f>(Q84/TAEj!B20)</f>
        <v>0.14043072327381134</v>
      </c>
      <c r="S84" s="359"/>
      <c r="T84" s="359"/>
      <c r="U84" s="359"/>
      <c r="V84" s="401"/>
      <c r="W84" s="402"/>
      <c r="X84" s="403"/>
    </row>
    <row r="85" spans="1:24" ht="15" customHeight="1" thickBot="1">
      <c r="A85" s="1"/>
      <c r="B85" s="1"/>
      <c r="C85" s="1"/>
      <c r="D85" s="342" t="s">
        <v>199</v>
      </c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4"/>
      <c r="Q85" s="105">
        <f>SUM(X78:X82)/5</f>
        <v>1.024</v>
      </c>
      <c r="R85" s="309" t="s">
        <v>221</v>
      </c>
      <c r="S85" s="310"/>
      <c r="T85" s="310"/>
      <c r="U85" s="310"/>
      <c r="V85" s="162" t="s">
        <v>222</v>
      </c>
      <c r="W85" s="162" t="s">
        <v>223</v>
      </c>
      <c r="X85" s="163" t="s">
        <v>224</v>
      </c>
    </row>
    <row r="86" spans="1:24" ht="15" customHeight="1" thickBot="1">
      <c r="A86" s="1"/>
      <c r="B86" s="1"/>
      <c r="C86" s="1"/>
      <c r="D86" s="355" t="s">
        <v>234</v>
      </c>
      <c r="E86" s="356"/>
      <c r="F86" s="356"/>
      <c r="G86" s="356"/>
      <c r="H86" s="356"/>
      <c r="I86" s="356"/>
      <c r="J86" s="356"/>
      <c r="K86" s="356"/>
      <c r="L86" s="356"/>
      <c r="M86" s="356"/>
      <c r="N86" s="356"/>
      <c r="O86" s="356"/>
      <c r="P86" s="357"/>
      <c r="Q86" s="176">
        <f>Q84/SUM(R86:X86)</f>
        <v>21.696338028169016</v>
      </c>
      <c r="R86" s="311">
        <f>(40)*1.7</f>
        <v>68</v>
      </c>
      <c r="S86" s="312"/>
      <c r="T86" s="312"/>
      <c r="U86" s="312"/>
      <c r="V86" s="164">
        <v>0</v>
      </c>
      <c r="W86" s="164">
        <v>0</v>
      </c>
      <c r="X86" s="79">
        <f>3*1</f>
        <v>3</v>
      </c>
    </row>
    <row r="87" spans="1:24" ht="15" customHeight="1" thickBot="1">
      <c r="A87" s="1"/>
      <c r="B87" s="1"/>
      <c r="C87" s="1"/>
      <c r="D87" s="372" t="s">
        <v>235</v>
      </c>
      <c r="E87" s="373"/>
      <c r="F87" s="373"/>
      <c r="G87" s="373"/>
      <c r="H87" s="373"/>
      <c r="I87" s="373"/>
      <c r="J87" s="373"/>
      <c r="K87" s="373"/>
      <c r="L87" s="373"/>
      <c r="M87" s="373"/>
      <c r="N87" s="373"/>
      <c r="O87" s="373"/>
      <c r="P87" s="374"/>
      <c r="Q87" s="59">
        <f>Q86/Q216</f>
        <v>1.586781167951703</v>
      </c>
      <c r="R87" s="375"/>
      <c r="S87" s="376"/>
      <c r="T87" s="376"/>
      <c r="U87" s="376"/>
      <c r="V87" s="376"/>
      <c r="W87" s="376"/>
      <c r="X87" s="376"/>
    </row>
    <row r="88" spans="1:24" ht="15" customHeight="1" thickBot="1">
      <c r="A88" s="1"/>
      <c r="B88" s="1"/>
      <c r="C88" s="1"/>
      <c r="D88" s="345" t="s">
        <v>236</v>
      </c>
      <c r="E88" s="346"/>
      <c r="F88" s="346"/>
      <c r="G88" s="346"/>
      <c r="H88" s="346"/>
      <c r="I88" s="346"/>
      <c r="J88" s="346"/>
      <c r="K88" s="346"/>
      <c r="L88" s="346"/>
      <c r="M88" s="346"/>
      <c r="N88" s="346"/>
      <c r="O88" s="346"/>
      <c r="P88" s="347"/>
      <c r="Q88" s="170">
        <f>Q85+Q87</f>
        <v>2.610781167951703</v>
      </c>
      <c r="R88" s="348"/>
      <c r="S88" s="349"/>
      <c r="T88" s="349"/>
      <c r="U88" s="349"/>
      <c r="V88" s="349"/>
      <c r="W88" s="349"/>
      <c r="X88" s="349"/>
    </row>
    <row r="89" spans="1:24" ht="15" customHeight="1" thickBot="1">
      <c r="A89" s="1"/>
      <c r="B89" s="1"/>
      <c r="C89" s="1"/>
      <c r="D89" s="316" t="s">
        <v>260</v>
      </c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7"/>
      <c r="P89" s="318"/>
      <c r="Q89" s="173">
        <f>Q84/Q213</f>
        <v>0.14043072327381134</v>
      </c>
      <c r="R89" s="165"/>
      <c r="S89" s="165"/>
      <c r="T89" s="165"/>
      <c r="U89" s="165"/>
      <c r="V89" s="165"/>
      <c r="W89" s="165"/>
      <c r="X89" s="165"/>
    </row>
    <row r="90" spans="1:24" ht="15" customHeight="1" thickBot="1">
      <c r="A90" s="1"/>
      <c r="B90" s="1"/>
      <c r="C90" s="1"/>
      <c r="D90" s="303" t="s">
        <v>261</v>
      </c>
      <c r="E90" s="304"/>
      <c r="F90" s="304"/>
      <c r="G90" s="304"/>
      <c r="H90" s="304"/>
      <c r="I90" s="304"/>
      <c r="J90" s="304"/>
      <c r="K90" s="304"/>
      <c r="L90" s="304"/>
      <c r="M90" s="304"/>
      <c r="N90" s="304"/>
      <c r="O90" s="304"/>
      <c r="P90" s="305"/>
      <c r="Q90" s="173">
        <f>Q88/Q217</f>
        <v>0.14504902622408389</v>
      </c>
      <c r="R90" s="165"/>
      <c r="S90" s="165"/>
      <c r="T90" s="165"/>
      <c r="U90" s="165"/>
      <c r="V90" s="165"/>
      <c r="W90" s="165"/>
      <c r="X90" s="165"/>
    </row>
    <row r="91" spans="1:24" ht="15" customHeight="1" thickBot="1">
      <c r="A91" s="1"/>
      <c r="B91" s="1"/>
      <c r="C91" s="1"/>
      <c r="D91" s="298" t="s">
        <v>262</v>
      </c>
      <c r="E91" s="299"/>
      <c r="F91" s="299"/>
      <c r="G91" s="299"/>
      <c r="H91" s="299"/>
      <c r="I91" s="299"/>
      <c r="J91" s="299"/>
      <c r="K91" s="299"/>
      <c r="L91" s="299"/>
      <c r="M91" s="299"/>
      <c r="N91" s="299"/>
      <c r="O91" s="299"/>
      <c r="P91" s="300"/>
      <c r="Q91" s="174">
        <f>((Q89*0.8)+(Q90*0.2))</f>
        <v>0.14135438386386584</v>
      </c>
      <c r="R91" s="165"/>
      <c r="S91" s="165"/>
      <c r="T91" s="165"/>
      <c r="U91" s="165"/>
      <c r="V91" s="165"/>
      <c r="W91" s="165"/>
      <c r="X91" s="165"/>
    </row>
    <row r="92" spans="1:24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315"/>
      <c r="W92" s="315"/>
      <c r="X92" s="315"/>
    </row>
    <row r="93" spans="1:24" ht="14.1" customHeight="1">
      <c r="A93" s="1"/>
      <c r="B93" s="1"/>
      <c r="C93" s="287" t="s">
        <v>69</v>
      </c>
      <c r="D93" s="287"/>
      <c r="E93" s="287"/>
      <c r="F93" s="287"/>
      <c r="G93" s="287"/>
      <c r="H93" s="287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1"/>
      <c r="T93" s="1"/>
      <c r="U93" s="1"/>
      <c r="V93" s="315"/>
      <c r="W93" s="315"/>
      <c r="X93" s="315"/>
    </row>
    <row r="94" spans="1:24" ht="0.9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315"/>
      <c r="W94" s="315"/>
      <c r="X94" s="315"/>
    </row>
    <row r="95" spans="1:24" ht="12" customHeight="1">
      <c r="A95" s="1"/>
      <c r="B95" s="1"/>
      <c r="C95" s="1"/>
      <c r="D95" s="319" t="s">
        <v>70</v>
      </c>
      <c r="E95" s="319"/>
      <c r="F95" s="319"/>
      <c r="G95" s="319"/>
      <c r="H95" s="319"/>
      <c r="I95" s="319"/>
      <c r="J95" s="319"/>
      <c r="K95" s="319"/>
      <c r="L95" s="319"/>
      <c r="M95" s="319"/>
      <c r="N95" s="319"/>
      <c r="O95" s="319"/>
      <c r="P95" s="319"/>
      <c r="Q95" s="319"/>
      <c r="R95" s="319"/>
      <c r="S95" s="319"/>
      <c r="T95" s="319"/>
      <c r="U95" s="1"/>
      <c r="V95" s="315"/>
      <c r="W95" s="315"/>
      <c r="X95" s="315"/>
    </row>
    <row r="96" spans="1:24" ht="3.9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402"/>
      <c r="W96" s="402"/>
      <c r="X96" s="402"/>
    </row>
    <row r="97" spans="1:24" ht="27" customHeight="1" thickBot="1">
      <c r="A97" s="1"/>
      <c r="B97" s="1"/>
      <c r="C97" s="1"/>
      <c r="D97" s="18" t="s">
        <v>5</v>
      </c>
      <c r="E97" s="19"/>
      <c r="F97" s="20" t="s">
        <v>6</v>
      </c>
      <c r="G97" s="19"/>
      <c r="H97" s="21" t="s">
        <v>7</v>
      </c>
      <c r="I97" s="19"/>
      <c r="J97" s="21" t="s">
        <v>8</v>
      </c>
      <c r="K97" s="19"/>
      <c r="L97" s="21" t="s">
        <v>9</v>
      </c>
      <c r="M97" s="19"/>
      <c r="N97" s="21" t="s">
        <v>10</v>
      </c>
      <c r="O97" s="19"/>
      <c r="P97" s="50" t="s">
        <v>11</v>
      </c>
      <c r="Q97" s="31" t="s">
        <v>167</v>
      </c>
      <c r="R97" s="334" t="s">
        <v>171</v>
      </c>
      <c r="S97" s="335"/>
      <c r="T97" s="335"/>
      <c r="U97" s="335"/>
      <c r="V97" s="81" t="s">
        <v>191</v>
      </c>
      <c r="W97" s="84" t="s">
        <v>193</v>
      </c>
      <c r="X97" s="87" t="s">
        <v>194</v>
      </c>
    </row>
    <row r="98" spans="1:24" ht="13.5" customHeight="1">
      <c r="A98" s="1"/>
      <c r="B98" s="1"/>
      <c r="C98" s="1"/>
      <c r="D98" s="23" t="s">
        <v>71</v>
      </c>
      <c r="E98" s="1"/>
      <c r="F98" s="6" t="s">
        <v>72</v>
      </c>
      <c r="G98" s="1"/>
      <c r="H98" s="7" t="s">
        <v>16</v>
      </c>
      <c r="I98" s="1"/>
      <c r="J98" s="7">
        <v>50</v>
      </c>
      <c r="K98" s="1"/>
      <c r="L98" s="7">
        <v>51</v>
      </c>
      <c r="M98" s="1"/>
      <c r="N98" s="7">
        <v>137</v>
      </c>
      <c r="O98" s="1"/>
      <c r="P98" s="51">
        <v>0</v>
      </c>
      <c r="Q98" s="36">
        <f>((N98)*1*1.15*1.1)</f>
        <v>173.30500000000001</v>
      </c>
      <c r="R98" s="362">
        <f>(Q98/Q$107)</f>
        <v>0.24061259615722363</v>
      </c>
      <c r="S98" s="363"/>
      <c r="T98" s="363"/>
      <c r="U98" s="364"/>
      <c r="V98" s="77">
        <v>3</v>
      </c>
      <c r="W98" s="85"/>
      <c r="X98" s="88">
        <f>(V98/Q214)</f>
        <v>0.96</v>
      </c>
    </row>
    <row r="99" spans="1:24" ht="13.5" customHeight="1">
      <c r="A99" s="1"/>
      <c r="B99" s="1"/>
      <c r="C99" s="1"/>
      <c r="D99" s="23" t="s">
        <v>73</v>
      </c>
      <c r="E99" s="1"/>
      <c r="F99" s="6" t="s">
        <v>74</v>
      </c>
      <c r="G99" s="1"/>
      <c r="H99" s="7" t="s">
        <v>16</v>
      </c>
      <c r="I99" s="1"/>
      <c r="J99" s="7">
        <v>37</v>
      </c>
      <c r="K99" s="1"/>
      <c r="L99" s="7">
        <v>52</v>
      </c>
      <c r="M99" s="1"/>
      <c r="N99" s="7">
        <v>237</v>
      </c>
      <c r="O99" s="1"/>
      <c r="P99" s="51">
        <v>17</v>
      </c>
      <c r="Q99" s="37">
        <f>(((P99)*(1+0.12)+(((L99)-(P99))/4))*1*4*1.15*1.1)</f>
        <v>140.6174</v>
      </c>
      <c r="R99" s="306">
        <f t="shared" ref="R99:R104" si="1">(Q99/Q$107)</f>
        <v>0.1952298991885911</v>
      </c>
      <c r="S99" s="307"/>
      <c r="T99" s="307"/>
      <c r="U99" s="308"/>
      <c r="V99" s="70">
        <v>3</v>
      </c>
      <c r="W99" s="86">
        <v>0</v>
      </c>
      <c r="X99" s="89">
        <f>(V99/Q214)</f>
        <v>0.96</v>
      </c>
    </row>
    <row r="100" spans="1:24" ht="9.9499999999999993" customHeight="1">
      <c r="A100" s="1"/>
      <c r="B100" s="1"/>
      <c r="C100" s="1"/>
      <c r="D100" s="23" t="s">
        <v>75</v>
      </c>
      <c r="E100" s="1"/>
      <c r="F100" s="6" t="s">
        <v>76</v>
      </c>
      <c r="G100" s="1"/>
      <c r="H100" s="7" t="s">
        <v>34</v>
      </c>
      <c r="I100" s="1"/>
      <c r="J100" s="7">
        <v>0</v>
      </c>
      <c r="K100" s="1"/>
      <c r="L100" s="7">
        <v>0</v>
      </c>
      <c r="M100" s="1"/>
      <c r="N100" s="7">
        <v>13</v>
      </c>
      <c r="O100" s="1"/>
      <c r="P100" s="51">
        <v>0</v>
      </c>
      <c r="Q100" s="365">
        <f>(((P100+P101)*(1+0.12)+(((L100+L101)-(P100+P101))/4))*1*4*1.15*1.1)</f>
        <v>73.825400000000002</v>
      </c>
      <c r="R100" s="306">
        <f t="shared" si="1"/>
        <v>0.10249745337033264</v>
      </c>
      <c r="S100" s="307"/>
      <c r="T100" s="307"/>
      <c r="U100" s="308"/>
      <c r="V100" s="370">
        <v>4</v>
      </c>
      <c r="W100" s="439"/>
      <c r="X100" s="437">
        <f>(V100/Q214)</f>
        <v>1.28</v>
      </c>
    </row>
    <row r="101" spans="1:24" ht="9.9499999999999993" customHeight="1">
      <c r="A101" s="1"/>
      <c r="B101" s="1"/>
      <c r="C101" s="1"/>
      <c r="D101" s="23" t="s">
        <v>75</v>
      </c>
      <c r="E101" s="1"/>
      <c r="F101" s="6" t="s">
        <v>77</v>
      </c>
      <c r="G101" s="1"/>
      <c r="H101" s="7" t="s">
        <v>16</v>
      </c>
      <c r="I101" s="1"/>
      <c r="J101" s="7">
        <v>50</v>
      </c>
      <c r="K101" s="1"/>
      <c r="L101" s="7">
        <v>34</v>
      </c>
      <c r="M101" s="1"/>
      <c r="N101" s="7">
        <v>150</v>
      </c>
      <c r="O101" s="1"/>
      <c r="P101" s="51">
        <v>7</v>
      </c>
      <c r="Q101" s="365"/>
      <c r="R101" s="306"/>
      <c r="S101" s="307"/>
      <c r="T101" s="307"/>
      <c r="U101" s="308"/>
      <c r="V101" s="370"/>
      <c r="W101" s="440"/>
      <c r="X101" s="437"/>
    </row>
    <row r="102" spans="1:24" ht="9.9499999999999993" customHeight="1">
      <c r="A102" s="1"/>
      <c r="B102" s="1"/>
      <c r="C102" s="1"/>
      <c r="D102" s="23" t="s">
        <v>78</v>
      </c>
      <c r="E102" s="1"/>
      <c r="F102" s="6" t="s">
        <v>79</v>
      </c>
      <c r="G102" s="1"/>
      <c r="H102" s="7" t="s">
        <v>34</v>
      </c>
      <c r="I102" s="1"/>
      <c r="J102" s="7">
        <v>50</v>
      </c>
      <c r="K102" s="1"/>
      <c r="L102" s="7">
        <v>24</v>
      </c>
      <c r="M102" s="1"/>
      <c r="N102" s="7">
        <v>52</v>
      </c>
      <c r="O102" s="1"/>
      <c r="P102" s="51">
        <v>6</v>
      </c>
      <c r="Q102" s="365">
        <f>(((P102+P103)*(1+0.115)+(((L102+L103)-(P102+P103))/4))*1*4*1.15*1.1)</f>
        <v>148.08090000000001</v>
      </c>
      <c r="R102" s="306">
        <f t="shared" si="1"/>
        <v>0.20559204749025256</v>
      </c>
      <c r="S102" s="307"/>
      <c r="T102" s="307"/>
      <c r="U102" s="308"/>
      <c r="V102" s="370">
        <v>3</v>
      </c>
      <c r="W102" s="439"/>
      <c r="X102" s="437">
        <f>(V102/Q214)</f>
        <v>0.96</v>
      </c>
    </row>
    <row r="103" spans="1:24" ht="9.9499999999999993" customHeight="1">
      <c r="A103" s="1"/>
      <c r="B103" s="1"/>
      <c r="C103" s="1"/>
      <c r="D103" s="23" t="s">
        <v>78</v>
      </c>
      <c r="E103" s="1"/>
      <c r="F103" s="6" t="s">
        <v>80</v>
      </c>
      <c r="G103" s="1"/>
      <c r="H103" s="7" t="s">
        <v>16</v>
      </c>
      <c r="I103" s="1"/>
      <c r="J103" s="7">
        <v>50</v>
      </c>
      <c r="K103" s="1"/>
      <c r="L103" s="7">
        <v>55</v>
      </c>
      <c r="M103" s="1"/>
      <c r="N103" s="7">
        <v>185</v>
      </c>
      <c r="O103" s="1"/>
      <c r="P103" s="51">
        <v>5</v>
      </c>
      <c r="Q103" s="365"/>
      <c r="R103" s="306"/>
      <c r="S103" s="307"/>
      <c r="T103" s="307"/>
      <c r="U103" s="308"/>
      <c r="V103" s="370"/>
      <c r="W103" s="440"/>
      <c r="X103" s="437"/>
    </row>
    <row r="104" spans="1:24" ht="9.9499999999999993" customHeight="1">
      <c r="A104" s="1"/>
      <c r="B104" s="1"/>
      <c r="C104" s="1"/>
      <c r="D104" s="23" t="s">
        <v>81</v>
      </c>
      <c r="E104" s="1"/>
      <c r="F104" s="6" t="s">
        <v>82</v>
      </c>
      <c r="G104" s="1"/>
      <c r="H104" s="7" t="s">
        <v>34</v>
      </c>
      <c r="I104" s="1"/>
      <c r="J104" s="7">
        <v>50</v>
      </c>
      <c r="K104" s="1"/>
      <c r="L104" s="7">
        <v>54</v>
      </c>
      <c r="M104" s="1"/>
      <c r="N104" s="7">
        <v>144</v>
      </c>
      <c r="O104" s="1"/>
      <c r="P104" s="51">
        <v>1</v>
      </c>
      <c r="Q104" s="365">
        <f>(((P104+P105)*(1+0.1)+(((L104+L105)-(P104+P105))/4))*1*4*1.15*1.1)</f>
        <v>184.43700000000001</v>
      </c>
      <c r="R104" s="306">
        <f t="shared" si="1"/>
        <v>0.25606800379360006</v>
      </c>
      <c r="S104" s="307"/>
      <c r="T104" s="307"/>
      <c r="U104" s="308"/>
      <c r="V104" s="370">
        <v>4</v>
      </c>
      <c r="W104" s="439"/>
      <c r="X104" s="437">
        <f>(V104/Q214)</f>
        <v>1.28</v>
      </c>
    </row>
    <row r="105" spans="1:24" ht="9.9499999999999993" customHeight="1" thickBot="1">
      <c r="A105" s="1"/>
      <c r="B105" s="1"/>
      <c r="C105" s="1"/>
      <c r="D105" s="52" t="s">
        <v>81</v>
      </c>
      <c r="E105" s="53"/>
      <c r="F105" s="54" t="s">
        <v>83</v>
      </c>
      <c r="G105" s="53"/>
      <c r="H105" s="55" t="s">
        <v>16</v>
      </c>
      <c r="I105" s="53"/>
      <c r="J105" s="55">
        <v>0</v>
      </c>
      <c r="K105" s="53"/>
      <c r="L105" s="55">
        <v>0</v>
      </c>
      <c r="M105" s="53"/>
      <c r="N105" s="55">
        <v>132</v>
      </c>
      <c r="O105" s="53"/>
      <c r="P105" s="56">
        <v>26</v>
      </c>
      <c r="Q105" s="366"/>
      <c r="R105" s="367"/>
      <c r="S105" s="368"/>
      <c r="T105" s="368"/>
      <c r="U105" s="369"/>
      <c r="V105" s="371"/>
      <c r="W105" s="441"/>
      <c r="X105" s="438"/>
    </row>
    <row r="106" spans="1:24" ht="14.25" customHeight="1" thickBot="1">
      <c r="A106" s="1"/>
      <c r="B106" s="1"/>
      <c r="C106" s="1"/>
      <c r="D106" s="313" t="s">
        <v>186</v>
      </c>
      <c r="E106" s="314"/>
      <c r="F106" s="314"/>
      <c r="G106" s="314"/>
      <c r="H106" s="314"/>
      <c r="I106" s="314"/>
      <c r="J106" s="314"/>
      <c r="K106" s="314"/>
      <c r="L106" s="314"/>
      <c r="M106" s="314"/>
      <c r="N106" s="314"/>
      <c r="O106" s="314"/>
      <c r="P106" s="314"/>
      <c r="Q106" s="60">
        <f>SUM(Q98:Q105)</f>
        <v>720.26570000000004</v>
      </c>
      <c r="R106" s="377">
        <f>SUM(R98:U105)</f>
        <v>1</v>
      </c>
      <c r="S106" s="378"/>
      <c r="T106" s="378"/>
      <c r="U106" s="378"/>
      <c r="V106" s="392"/>
      <c r="W106" s="393"/>
      <c r="X106" s="394"/>
    </row>
    <row r="107" spans="1:24" ht="13.5" customHeight="1" thickBot="1">
      <c r="A107" s="1"/>
      <c r="B107" s="1"/>
      <c r="C107" s="1"/>
      <c r="D107" s="301" t="s">
        <v>187</v>
      </c>
      <c r="E107" s="302"/>
      <c r="F107" s="302"/>
      <c r="G107" s="302"/>
      <c r="H107" s="302"/>
      <c r="I107" s="302"/>
      <c r="J107" s="302"/>
      <c r="K107" s="302"/>
      <c r="L107" s="302"/>
      <c r="M107" s="302"/>
      <c r="N107" s="302"/>
      <c r="O107" s="302"/>
      <c r="P107" s="302"/>
      <c r="Q107" s="60">
        <f>SUM(Q98:Q105)</f>
        <v>720.26570000000004</v>
      </c>
      <c r="R107" s="358">
        <f>(Q107/TAEj!B20)</f>
        <v>6.5661391031340402E-2</v>
      </c>
      <c r="S107" s="359"/>
      <c r="T107" s="359"/>
      <c r="U107" s="359"/>
      <c r="V107" s="401"/>
      <c r="W107" s="402"/>
      <c r="X107" s="403"/>
    </row>
    <row r="108" spans="1:24" ht="13.5" customHeight="1" thickBot="1">
      <c r="A108" s="1"/>
      <c r="B108" s="1"/>
      <c r="C108" s="1"/>
      <c r="D108" s="342" t="s">
        <v>200</v>
      </c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4"/>
      <c r="Q108" s="105">
        <f>SUM(X98:X105)/5</f>
        <v>1.0880000000000001</v>
      </c>
      <c r="R108" s="309" t="s">
        <v>221</v>
      </c>
      <c r="S108" s="310"/>
      <c r="T108" s="310"/>
      <c r="U108" s="310"/>
      <c r="V108" s="162" t="s">
        <v>222</v>
      </c>
      <c r="W108" s="162" t="s">
        <v>223</v>
      </c>
      <c r="X108" s="163" t="s">
        <v>224</v>
      </c>
    </row>
    <row r="109" spans="1:24" ht="13.5" customHeight="1" thickBot="1">
      <c r="A109" s="1"/>
      <c r="B109" s="1"/>
      <c r="C109" s="1"/>
      <c r="D109" s="355" t="s">
        <v>237</v>
      </c>
      <c r="E109" s="356"/>
      <c r="F109" s="356"/>
      <c r="G109" s="356"/>
      <c r="H109" s="356"/>
      <c r="I109" s="356"/>
      <c r="J109" s="356"/>
      <c r="K109" s="356"/>
      <c r="L109" s="356"/>
      <c r="M109" s="356"/>
      <c r="N109" s="356"/>
      <c r="O109" s="356"/>
      <c r="P109" s="357"/>
      <c r="Q109" s="176">
        <f>Q107/SUM(R109:X109)</f>
        <v>10.702313521545321</v>
      </c>
      <c r="R109" s="311">
        <f>(39)*1.7</f>
        <v>66.3</v>
      </c>
      <c r="S109" s="312"/>
      <c r="T109" s="312"/>
      <c r="U109" s="312"/>
      <c r="V109" s="164">
        <v>0</v>
      </c>
      <c r="W109" s="164">
        <v>0</v>
      </c>
      <c r="X109" s="79">
        <f>1*1</f>
        <v>1</v>
      </c>
    </row>
    <row r="110" spans="1:24" ht="13.5" customHeight="1" thickBot="1">
      <c r="A110" s="1"/>
      <c r="B110" s="1"/>
      <c r="C110" s="1"/>
      <c r="D110" s="372" t="s">
        <v>238</v>
      </c>
      <c r="E110" s="373"/>
      <c r="F110" s="373"/>
      <c r="G110" s="373"/>
      <c r="H110" s="373"/>
      <c r="I110" s="373"/>
      <c r="J110" s="373"/>
      <c r="K110" s="373"/>
      <c r="L110" s="373"/>
      <c r="M110" s="373"/>
      <c r="N110" s="373"/>
      <c r="O110" s="373"/>
      <c r="P110" s="374"/>
      <c r="Q110" s="59">
        <f>Q109/Q216</f>
        <v>0.782723311530934</v>
      </c>
      <c r="R110" s="165"/>
      <c r="S110" s="165"/>
      <c r="T110" s="165"/>
      <c r="U110" s="165"/>
      <c r="V110" s="166"/>
      <c r="W110" s="166"/>
      <c r="X110" s="166"/>
    </row>
    <row r="111" spans="1:24" ht="13.5" customHeight="1" thickBot="1">
      <c r="A111" s="1"/>
      <c r="B111" s="1"/>
      <c r="C111" s="1"/>
      <c r="D111" s="345" t="s">
        <v>239</v>
      </c>
      <c r="E111" s="346"/>
      <c r="F111" s="346"/>
      <c r="G111" s="346"/>
      <c r="H111" s="346"/>
      <c r="I111" s="346"/>
      <c r="J111" s="346"/>
      <c r="K111" s="346"/>
      <c r="L111" s="346"/>
      <c r="M111" s="346"/>
      <c r="N111" s="346"/>
      <c r="O111" s="346"/>
      <c r="P111" s="347"/>
      <c r="Q111" s="170">
        <f>Q108+Q110</f>
        <v>1.8707233115309341</v>
      </c>
      <c r="R111" s="165"/>
      <c r="S111" s="165"/>
      <c r="T111" s="165"/>
      <c r="U111" s="165"/>
      <c r="V111" s="166"/>
      <c r="W111" s="166"/>
      <c r="X111" s="166"/>
    </row>
    <row r="112" spans="1:24" ht="13.5" customHeight="1" thickBot="1">
      <c r="A112" s="1"/>
      <c r="B112" s="1"/>
      <c r="C112" s="1"/>
      <c r="D112" s="316" t="s">
        <v>263</v>
      </c>
      <c r="E112" s="317"/>
      <c r="F112" s="317"/>
      <c r="G112" s="317"/>
      <c r="H112" s="317"/>
      <c r="I112" s="317"/>
      <c r="J112" s="317"/>
      <c r="K112" s="317"/>
      <c r="L112" s="317"/>
      <c r="M112" s="317"/>
      <c r="N112" s="317"/>
      <c r="O112" s="317"/>
      <c r="P112" s="318"/>
      <c r="Q112" s="173">
        <f>Q107/Q213</f>
        <v>6.5661391031340402E-2</v>
      </c>
      <c r="R112" s="165"/>
      <c r="S112" s="165"/>
      <c r="T112" s="165"/>
      <c r="U112" s="165"/>
      <c r="V112" s="166"/>
      <c r="W112" s="166"/>
      <c r="X112" s="166"/>
    </row>
    <row r="113" spans="1:24" ht="13.5" customHeight="1" thickBot="1">
      <c r="A113" s="1"/>
      <c r="B113" s="1"/>
      <c r="C113" s="1"/>
      <c r="D113" s="303" t="s">
        <v>264</v>
      </c>
      <c r="E113" s="304"/>
      <c r="F113" s="304"/>
      <c r="G113" s="304"/>
      <c r="H113" s="304"/>
      <c r="I113" s="304"/>
      <c r="J113" s="304"/>
      <c r="K113" s="304"/>
      <c r="L113" s="304"/>
      <c r="M113" s="304"/>
      <c r="N113" s="304"/>
      <c r="O113" s="304"/>
      <c r="P113" s="305"/>
      <c r="Q113" s="173">
        <f>Q111/Q217</f>
        <v>0.10393310554064605</v>
      </c>
      <c r="R113" s="165"/>
      <c r="S113" s="165"/>
      <c r="T113" s="165"/>
      <c r="U113" s="165"/>
      <c r="V113" s="166"/>
      <c r="W113" s="166"/>
      <c r="X113" s="166"/>
    </row>
    <row r="114" spans="1:24" ht="13.5" customHeight="1" thickBot="1">
      <c r="A114" s="1"/>
      <c r="B114" s="1"/>
      <c r="C114" s="1"/>
      <c r="D114" s="298" t="s">
        <v>265</v>
      </c>
      <c r="E114" s="299"/>
      <c r="F114" s="299"/>
      <c r="G114" s="299"/>
      <c r="H114" s="299"/>
      <c r="I114" s="299"/>
      <c r="J114" s="299"/>
      <c r="K114" s="299"/>
      <c r="L114" s="299"/>
      <c r="M114" s="299"/>
      <c r="N114" s="299"/>
      <c r="O114" s="299"/>
      <c r="P114" s="300"/>
      <c r="Q114" s="174">
        <f>((Q112*0.8)+(Q113*0.2))</f>
        <v>7.3315733933201538E-2</v>
      </c>
      <c r="R114" s="165"/>
      <c r="S114" s="165"/>
      <c r="T114" s="165"/>
      <c r="U114" s="165"/>
      <c r="V114" s="166"/>
      <c r="W114" s="166"/>
      <c r="X114" s="166"/>
    </row>
    <row r="115" spans="1:24" ht="17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67"/>
      <c r="W115" s="168"/>
      <c r="X115" s="169"/>
    </row>
    <row r="116" spans="1:24" ht="0.9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67"/>
      <c r="W116" s="168"/>
      <c r="X116" s="169"/>
    </row>
    <row r="117" spans="1:24" ht="14.1" customHeight="1">
      <c r="A117" s="1"/>
      <c r="B117" s="1"/>
      <c r="C117" s="287" t="s">
        <v>84</v>
      </c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1"/>
      <c r="T117" s="1"/>
      <c r="U117" s="1"/>
      <c r="V117" s="399"/>
      <c r="W117" s="399"/>
      <c r="X117" s="399"/>
    </row>
    <row r="118" spans="1:24" ht="0.9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399"/>
      <c r="W118" s="399"/>
      <c r="X118" s="399"/>
    </row>
    <row r="119" spans="1:24" ht="12" customHeight="1">
      <c r="A119" s="1"/>
      <c r="B119" s="1"/>
      <c r="C119" s="1"/>
      <c r="D119" s="319" t="s">
        <v>85</v>
      </c>
      <c r="E119" s="319"/>
      <c r="F119" s="319"/>
      <c r="G119" s="319"/>
      <c r="H119" s="319"/>
      <c r="I119" s="319"/>
      <c r="J119" s="319"/>
      <c r="K119" s="319"/>
      <c r="L119" s="319"/>
      <c r="M119" s="319"/>
      <c r="N119" s="319"/>
      <c r="O119" s="319"/>
      <c r="P119" s="319"/>
      <c r="Q119" s="319"/>
      <c r="R119" s="319"/>
      <c r="S119" s="319"/>
      <c r="T119" s="319"/>
      <c r="U119" s="1"/>
      <c r="V119" s="399"/>
      <c r="W119" s="399"/>
      <c r="X119" s="399"/>
    </row>
    <row r="120" spans="1:24" ht="3.95" customHeight="1" thickBo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400"/>
      <c r="W120" s="400"/>
      <c r="X120" s="400"/>
    </row>
    <row r="121" spans="1:24" ht="27" customHeight="1" thickBot="1">
      <c r="A121" s="1"/>
      <c r="B121" s="1"/>
      <c r="C121" s="1"/>
      <c r="D121" s="2" t="s">
        <v>5</v>
      </c>
      <c r="E121" s="1"/>
      <c r="F121" s="3" t="s">
        <v>6</v>
      </c>
      <c r="G121" s="1"/>
      <c r="H121" s="4" t="s">
        <v>7</v>
      </c>
      <c r="I121" s="1"/>
      <c r="J121" s="4" t="s">
        <v>8</v>
      </c>
      <c r="K121" s="1"/>
      <c r="L121" s="4" t="s">
        <v>9</v>
      </c>
      <c r="M121" s="1"/>
      <c r="N121" s="4" t="s">
        <v>10</v>
      </c>
      <c r="O121" s="1"/>
      <c r="P121" s="11" t="s">
        <v>11</v>
      </c>
      <c r="Q121" s="31" t="s">
        <v>167</v>
      </c>
      <c r="R121" s="334" t="s">
        <v>171</v>
      </c>
      <c r="S121" s="335"/>
      <c r="T121" s="335"/>
      <c r="U121" s="442"/>
      <c r="V121" s="81" t="s">
        <v>191</v>
      </c>
      <c r="W121" s="82" t="s">
        <v>193</v>
      </c>
      <c r="X121" s="83" t="s">
        <v>194</v>
      </c>
    </row>
    <row r="122" spans="1:24" ht="13.5" customHeight="1">
      <c r="A122" s="1"/>
      <c r="B122" s="1"/>
      <c r="C122" s="1"/>
      <c r="D122" s="5" t="s">
        <v>86</v>
      </c>
      <c r="E122" s="1"/>
      <c r="F122" s="6" t="s">
        <v>87</v>
      </c>
      <c r="G122" s="1"/>
      <c r="H122" s="7" t="s">
        <v>25</v>
      </c>
      <c r="I122" s="1"/>
      <c r="J122" s="7">
        <v>0</v>
      </c>
      <c r="K122" s="1"/>
      <c r="L122" s="7">
        <v>0</v>
      </c>
      <c r="M122" s="1"/>
      <c r="N122" s="7">
        <v>69</v>
      </c>
      <c r="O122" s="1"/>
      <c r="P122" s="10">
        <v>0</v>
      </c>
      <c r="Q122" s="36">
        <f>((N122)*2*1*1.1)</f>
        <v>151.80000000000001</v>
      </c>
      <c r="R122" s="362">
        <f>(Q122/Q$125)</f>
        <v>0.40404040404040403</v>
      </c>
      <c r="S122" s="363"/>
      <c r="T122" s="363"/>
      <c r="U122" s="364"/>
      <c r="V122" s="80">
        <v>3</v>
      </c>
      <c r="W122" s="90">
        <v>0</v>
      </c>
      <c r="X122" s="91">
        <f>(V122/Q214)</f>
        <v>0.96</v>
      </c>
    </row>
    <row r="123" spans="1:24" ht="15.75" customHeight="1" thickBot="1">
      <c r="A123" s="1"/>
      <c r="B123" s="1"/>
      <c r="C123" s="1"/>
      <c r="D123" s="5" t="s">
        <v>88</v>
      </c>
      <c r="E123" s="1"/>
      <c r="F123" s="6" t="s">
        <v>89</v>
      </c>
      <c r="G123" s="1"/>
      <c r="H123" s="7" t="s">
        <v>16</v>
      </c>
      <c r="I123" s="1"/>
      <c r="J123" s="7">
        <v>45</v>
      </c>
      <c r="K123" s="1"/>
      <c r="L123" s="7">
        <v>37</v>
      </c>
      <c r="M123" s="1"/>
      <c r="N123" s="7">
        <v>177</v>
      </c>
      <c r="O123" s="1"/>
      <c r="P123" s="10">
        <v>10</v>
      </c>
      <c r="Q123" s="38">
        <f>((N123)*1*1.15*1.1)</f>
        <v>223.905</v>
      </c>
      <c r="R123" s="367">
        <f>(Q123/Q$125)</f>
        <v>0.59595959595959591</v>
      </c>
      <c r="S123" s="368"/>
      <c r="T123" s="368"/>
      <c r="U123" s="369"/>
      <c r="V123" s="74">
        <v>3</v>
      </c>
      <c r="W123" s="78">
        <v>0</v>
      </c>
      <c r="X123" s="79">
        <f>(V123/Q214)</f>
        <v>0.96</v>
      </c>
    </row>
    <row r="124" spans="1:24" ht="15.75" customHeight="1" thickBot="1">
      <c r="A124" s="1"/>
      <c r="B124" s="1"/>
      <c r="C124" s="1"/>
      <c r="D124" s="313" t="s">
        <v>177</v>
      </c>
      <c r="E124" s="314"/>
      <c r="F124" s="314"/>
      <c r="G124" s="314"/>
      <c r="H124" s="314"/>
      <c r="I124" s="314"/>
      <c r="J124" s="314"/>
      <c r="K124" s="314"/>
      <c r="L124" s="314"/>
      <c r="M124" s="314"/>
      <c r="N124" s="314"/>
      <c r="O124" s="314"/>
      <c r="P124" s="314"/>
      <c r="Q124" s="63">
        <f>SUM(Q122:Q123)</f>
        <v>375.70500000000004</v>
      </c>
      <c r="R124" s="380">
        <f>(Q124/Q$125)</f>
        <v>1</v>
      </c>
      <c r="S124" s="381"/>
      <c r="T124" s="381"/>
      <c r="U124" s="382"/>
      <c r="V124" s="204"/>
      <c r="W124" s="205"/>
      <c r="X124" s="206"/>
    </row>
    <row r="125" spans="1:24" ht="13.5" customHeight="1" thickBot="1">
      <c r="A125" s="1"/>
      <c r="B125" s="1"/>
      <c r="C125" s="1"/>
      <c r="D125" s="301" t="s">
        <v>188</v>
      </c>
      <c r="E125" s="302"/>
      <c r="F125" s="302"/>
      <c r="G125" s="302"/>
      <c r="H125" s="302"/>
      <c r="I125" s="302"/>
      <c r="J125" s="302"/>
      <c r="K125" s="302"/>
      <c r="L125" s="302"/>
      <c r="M125" s="302"/>
      <c r="N125" s="302"/>
      <c r="O125" s="302"/>
      <c r="P125" s="302"/>
      <c r="Q125" s="49">
        <f>SUM(Q122:Q123)</f>
        <v>375.70500000000004</v>
      </c>
      <c r="R125" s="377">
        <f>(Q125/TAEj!B20)</f>
        <v>3.4250295297179566E-2</v>
      </c>
      <c r="S125" s="378"/>
      <c r="T125" s="378"/>
      <c r="U125" s="379"/>
      <c r="V125" s="207"/>
      <c r="W125" s="208"/>
      <c r="X125" s="209"/>
    </row>
    <row r="126" spans="1:24" ht="13.5" customHeight="1" thickBot="1">
      <c r="A126" s="1"/>
      <c r="B126" s="1"/>
      <c r="C126" s="1"/>
      <c r="D126" s="342" t="s">
        <v>192</v>
      </c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4"/>
      <c r="Q126" s="105">
        <f>SUM(X122:X123)/2</f>
        <v>0.96</v>
      </c>
      <c r="R126" s="309" t="s">
        <v>221</v>
      </c>
      <c r="S126" s="310"/>
      <c r="T126" s="310"/>
      <c r="U126" s="310"/>
      <c r="V126" s="162" t="s">
        <v>222</v>
      </c>
      <c r="W126" s="162" t="s">
        <v>223</v>
      </c>
      <c r="X126" s="163" t="s">
        <v>224</v>
      </c>
    </row>
    <row r="127" spans="1:24" ht="13.5" customHeight="1" thickBot="1">
      <c r="A127" s="1"/>
      <c r="B127" s="1"/>
      <c r="C127" s="1"/>
      <c r="D127" s="355" t="s">
        <v>240</v>
      </c>
      <c r="E127" s="356"/>
      <c r="F127" s="356"/>
      <c r="G127" s="356"/>
      <c r="H127" s="356"/>
      <c r="I127" s="356"/>
      <c r="J127" s="356"/>
      <c r="K127" s="356"/>
      <c r="L127" s="356"/>
      <c r="M127" s="356"/>
      <c r="N127" s="356"/>
      <c r="O127" s="356"/>
      <c r="P127" s="357"/>
      <c r="Q127" s="176">
        <f>Q125/SUM(R127:X127)</f>
        <v>11.524693251533746</v>
      </c>
      <c r="R127" s="311">
        <f>(18)*1.7</f>
        <v>30.599999999999998</v>
      </c>
      <c r="S127" s="312"/>
      <c r="T127" s="312"/>
      <c r="U127" s="312"/>
      <c r="V127" s="164">
        <v>1</v>
      </c>
      <c r="W127" s="164">
        <v>0</v>
      </c>
      <c r="X127" s="79">
        <f>1*1</f>
        <v>1</v>
      </c>
    </row>
    <row r="128" spans="1:24" ht="13.5" customHeight="1" thickBot="1">
      <c r="A128" s="1"/>
      <c r="B128" s="1"/>
      <c r="C128" s="1"/>
      <c r="D128" s="372" t="s">
        <v>241</v>
      </c>
      <c r="E128" s="373"/>
      <c r="F128" s="373"/>
      <c r="G128" s="373"/>
      <c r="H128" s="373"/>
      <c r="I128" s="373"/>
      <c r="J128" s="373"/>
      <c r="K128" s="373"/>
      <c r="L128" s="373"/>
      <c r="M128" s="373"/>
      <c r="N128" s="373"/>
      <c r="O128" s="373"/>
      <c r="P128" s="374"/>
      <c r="Q128" s="59">
        <f>Q127/Q216</f>
        <v>0.84286879169245243</v>
      </c>
      <c r="R128" s="375"/>
      <c r="S128" s="376"/>
      <c r="T128" s="376"/>
      <c r="U128" s="376"/>
      <c r="V128" s="376"/>
      <c r="W128" s="376"/>
      <c r="X128" s="376"/>
    </row>
    <row r="129" spans="1:25" ht="13.5" customHeight="1" thickBot="1">
      <c r="A129" s="1"/>
      <c r="B129" s="1"/>
      <c r="C129" s="1"/>
      <c r="D129" s="345" t="s">
        <v>242</v>
      </c>
      <c r="E129" s="346"/>
      <c r="F129" s="346"/>
      <c r="G129" s="346"/>
      <c r="H129" s="346"/>
      <c r="I129" s="346"/>
      <c r="J129" s="346"/>
      <c r="K129" s="346"/>
      <c r="L129" s="346"/>
      <c r="M129" s="346"/>
      <c r="N129" s="346"/>
      <c r="O129" s="346"/>
      <c r="P129" s="347"/>
      <c r="Q129" s="170">
        <f>Q126+Q128</f>
        <v>1.8028687916924524</v>
      </c>
      <c r="R129" s="348"/>
      <c r="S129" s="349"/>
      <c r="T129" s="349"/>
      <c r="U129" s="349"/>
      <c r="V129" s="349"/>
      <c r="W129" s="349"/>
      <c r="X129" s="349"/>
    </row>
    <row r="130" spans="1:25" ht="13.5" customHeight="1" thickBot="1">
      <c r="A130" s="1"/>
      <c r="B130" s="1"/>
      <c r="C130" s="1"/>
      <c r="D130" s="316" t="s">
        <v>266</v>
      </c>
      <c r="E130" s="317"/>
      <c r="F130" s="317"/>
      <c r="G130" s="317"/>
      <c r="H130" s="317"/>
      <c r="I130" s="317"/>
      <c r="J130" s="317"/>
      <c r="K130" s="317"/>
      <c r="L130" s="317"/>
      <c r="M130" s="317"/>
      <c r="N130" s="317"/>
      <c r="O130" s="317"/>
      <c r="P130" s="318"/>
      <c r="Q130" s="173">
        <f>Q125/Q213</f>
        <v>3.4250295297179566E-2</v>
      </c>
      <c r="R130" s="165"/>
      <c r="S130" s="165"/>
      <c r="T130" s="165"/>
      <c r="U130" s="165"/>
      <c r="V130" s="165"/>
      <c r="W130" s="165"/>
      <c r="X130" s="165"/>
    </row>
    <row r="131" spans="1:25" ht="13.5" customHeight="1" thickBot="1">
      <c r="A131" s="1"/>
      <c r="B131" s="1"/>
      <c r="C131" s="1"/>
      <c r="D131" s="303" t="s">
        <v>267</v>
      </c>
      <c r="E131" s="304"/>
      <c r="F131" s="304"/>
      <c r="G131" s="304"/>
      <c r="H131" s="304"/>
      <c r="I131" s="304"/>
      <c r="J131" s="304"/>
      <c r="K131" s="304"/>
      <c r="L131" s="304"/>
      <c r="M131" s="304"/>
      <c r="N131" s="304"/>
      <c r="O131" s="304"/>
      <c r="P131" s="305"/>
      <c r="Q131" s="173">
        <f>Q129/Q217</f>
        <v>0.10016326372154166</v>
      </c>
      <c r="R131" s="165"/>
      <c r="S131" s="165"/>
      <c r="T131" s="165"/>
      <c r="U131" s="165"/>
      <c r="V131" s="165"/>
      <c r="W131" s="165"/>
      <c r="X131" s="165"/>
    </row>
    <row r="132" spans="1:25" ht="13.5" customHeight="1" thickBot="1">
      <c r="A132" s="1"/>
      <c r="B132" s="1"/>
      <c r="C132" s="1"/>
      <c r="D132" s="298" t="s">
        <v>268</v>
      </c>
      <c r="E132" s="299"/>
      <c r="F132" s="299"/>
      <c r="G132" s="299"/>
      <c r="H132" s="299"/>
      <c r="I132" s="299"/>
      <c r="J132" s="299"/>
      <c r="K132" s="299"/>
      <c r="L132" s="299"/>
      <c r="M132" s="299"/>
      <c r="N132" s="299"/>
      <c r="O132" s="299"/>
      <c r="P132" s="300"/>
      <c r="Q132" s="174">
        <f>((Q130*0.8)+(Q131*0.2))</f>
        <v>4.7432888982051988E-2</v>
      </c>
      <c r="R132" s="165"/>
      <c r="S132" s="165"/>
      <c r="T132" s="165"/>
      <c r="U132" s="165"/>
      <c r="V132" s="165"/>
      <c r="W132" s="165"/>
      <c r="X132" s="165"/>
    </row>
    <row r="133" spans="1:25" ht="18.75" customHeight="1">
      <c r="A133" s="1"/>
      <c r="B133" s="1"/>
      <c r="C133" s="1"/>
      <c r="D133" s="287" t="s">
        <v>165</v>
      </c>
      <c r="E133" s="287"/>
      <c r="F133" s="287"/>
      <c r="G133" s="287"/>
      <c r="H133" s="287"/>
      <c r="I133" s="287"/>
      <c r="J133" s="287"/>
      <c r="K133" s="287"/>
      <c r="L133" s="287"/>
      <c r="M133" s="287"/>
      <c r="N133" s="287"/>
      <c r="O133" s="287"/>
      <c r="P133" s="287"/>
      <c r="Q133" s="287"/>
      <c r="R133" s="287"/>
      <c r="S133" s="287"/>
      <c r="T133" s="1"/>
      <c r="U133" s="1"/>
      <c r="V133" s="315"/>
      <c r="W133" s="315"/>
      <c r="X133" s="315"/>
    </row>
    <row r="134" spans="1:25" ht="15.75" customHeight="1">
      <c r="A134" s="1"/>
      <c r="B134" s="1"/>
      <c r="C134" s="1"/>
      <c r="D134" s="411" t="s">
        <v>166</v>
      </c>
      <c r="E134" s="411"/>
      <c r="F134" s="411"/>
      <c r="G134" s="411"/>
      <c r="H134" s="411"/>
      <c r="I134" s="411"/>
      <c r="J134" s="411"/>
      <c r="K134" s="411"/>
      <c r="L134" s="411"/>
      <c r="M134" s="411"/>
      <c r="N134" s="411"/>
      <c r="O134" s="411"/>
      <c r="P134" s="411"/>
      <c r="Q134" s="411"/>
      <c r="R134" s="411"/>
      <c r="S134" s="411"/>
      <c r="T134" s="411"/>
      <c r="U134" s="411"/>
      <c r="V134" s="315"/>
      <c r="W134" s="315"/>
      <c r="X134" s="315"/>
    </row>
    <row r="135" spans="1:25" ht="15.75" customHeight="1" thickBot="1">
      <c r="A135" s="1"/>
      <c r="B135" s="1"/>
      <c r="C135" s="1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402"/>
      <c r="W135" s="402"/>
      <c r="X135" s="402"/>
    </row>
    <row r="136" spans="1:25" ht="15.75" customHeight="1" thickBot="1">
      <c r="A136" s="1"/>
      <c r="B136" s="1"/>
      <c r="C136" s="1"/>
      <c r="D136" s="18" t="s">
        <v>5</v>
      </c>
      <c r="E136" s="19"/>
      <c r="F136" s="20" t="s">
        <v>6</v>
      </c>
      <c r="G136" s="19"/>
      <c r="H136" s="21" t="s">
        <v>7</v>
      </c>
      <c r="I136" s="19"/>
      <c r="J136" s="21" t="s">
        <v>8</v>
      </c>
      <c r="K136" s="19"/>
      <c r="L136" s="21" t="s">
        <v>9</v>
      </c>
      <c r="M136" s="19"/>
      <c r="N136" s="21" t="s">
        <v>10</v>
      </c>
      <c r="O136" s="19"/>
      <c r="P136" s="50" t="s">
        <v>11</v>
      </c>
      <c r="Q136" s="32" t="s">
        <v>167</v>
      </c>
      <c r="R136" s="334" t="s">
        <v>171</v>
      </c>
      <c r="S136" s="335"/>
      <c r="T136" s="335"/>
      <c r="U136" s="335"/>
      <c r="V136" s="81" t="s">
        <v>191</v>
      </c>
      <c r="W136" s="82" t="s">
        <v>193</v>
      </c>
      <c r="X136" s="83" t="s">
        <v>194</v>
      </c>
    </row>
    <row r="137" spans="1:25" ht="24.75" customHeight="1" thickBot="1">
      <c r="A137" s="1"/>
      <c r="B137" s="1"/>
      <c r="C137" s="1"/>
      <c r="D137" s="52" t="s">
        <v>23</v>
      </c>
      <c r="E137" s="53"/>
      <c r="F137" s="54" t="s">
        <v>24</v>
      </c>
      <c r="G137" s="53"/>
      <c r="H137" s="55" t="s">
        <v>25</v>
      </c>
      <c r="I137" s="53"/>
      <c r="J137" s="55">
        <v>50</v>
      </c>
      <c r="K137" s="53"/>
      <c r="L137" s="55">
        <v>49</v>
      </c>
      <c r="M137" s="53"/>
      <c r="N137" s="55">
        <v>144</v>
      </c>
      <c r="O137" s="53"/>
      <c r="P137" s="56">
        <v>0</v>
      </c>
      <c r="Q137" s="39">
        <f>((N137)*2*1*1.1)</f>
        <v>316.8</v>
      </c>
      <c r="R137" s="383">
        <f>(Q137/Q137)</f>
        <v>1</v>
      </c>
      <c r="S137" s="384"/>
      <c r="T137" s="384"/>
      <c r="U137" s="384"/>
      <c r="V137" s="96">
        <v>3</v>
      </c>
      <c r="W137" s="97">
        <v>0</v>
      </c>
      <c r="X137" s="98">
        <f>V137/Q214</f>
        <v>0.96</v>
      </c>
      <c r="Y137" s="42"/>
    </row>
    <row r="138" spans="1:25" ht="15.75" customHeight="1" thickBot="1">
      <c r="A138" s="1"/>
      <c r="B138" s="1"/>
      <c r="C138" s="1"/>
      <c r="D138" s="313" t="s">
        <v>201</v>
      </c>
      <c r="E138" s="314"/>
      <c r="F138" s="314"/>
      <c r="G138" s="314"/>
      <c r="H138" s="314"/>
      <c r="I138" s="314"/>
      <c r="J138" s="314"/>
      <c r="K138" s="314"/>
      <c r="L138" s="314"/>
      <c r="M138" s="314"/>
      <c r="N138" s="314"/>
      <c r="O138" s="314"/>
      <c r="P138" s="314"/>
      <c r="Q138" s="63">
        <f>SUM(Q136:Q137)</f>
        <v>316.8</v>
      </c>
      <c r="R138" s="377">
        <f>(Q137/Q137)</f>
        <v>1</v>
      </c>
      <c r="S138" s="378"/>
      <c r="T138" s="378"/>
      <c r="U138" s="379"/>
      <c r="V138" s="204"/>
      <c r="W138" s="205"/>
      <c r="X138" s="206"/>
      <c r="Y138" s="42"/>
    </row>
    <row r="139" spans="1:25" ht="15" customHeight="1" thickBot="1">
      <c r="A139" s="1"/>
      <c r="B139" s="1"/>
      <c r="C139" s="1"/>
      <c r="D139" s="301" t="s">
        <v>202</v>
      </c>
      <c r="E139" s="302"/>
      <c r="F139" s="302"/>
      <c r="G139" s="302"/>
      <c r="H139" s="302"/>
      <c r="I139" s="302"/>
      <c r="J139" s="302"/>
      <c r="K139" s="302"/>
      <c r="L139" s="302"/>
      <c r="M139" s="302"/>
      <c r="N139" s="302"/>
      <c r="O139" s="302"/>
      <c r="P139" s="302"/>
      <c r="Q139" s="49">
        <f>SUM(Q136:Q137)</f>
        <v>316.8</v>
      </c>
      <c r="R139" s="377">
        <f>(Q139/TAEj!B20)</f>
        <v>2.888035440078382E-2</v>
      </c>
      <c r="S139" s="378"/>
      <c r="T139" s="378"/>
      <c r="U139" s="379"/>
      <c r="V139" s="207"/>
      <c r="W139" s="208"/>
      <c r="X139" s="209"/>
      <c r="Y139" s="42"/>
    </row>
    <row r="140" spans="1:25" ht="17.25" customHeight="1" thickBot="1">
      <c r="A140" s="1"/>
      <c r="B140" s="1"/>
      <c r="C140" s="1"/>
      <c r="D140" s="342" t="s">
        <v>203</v>
      </c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4"/>
      <c r="Q140" s="105">
        <f>SUM(X137:X137)/1</f>
        <v>0.96</v>
      </c>
      <c r="R140" s="309" t="s">
        <v>221</v>
      </c>
      <c r="S140" s="310"/>
      <c r="T140" s="310"/>
      <c r="U140" s="310"/>
      <c r="V140" s="162" t="s">
        <v>222</v>
      </c>
      <c r="W140" s="162" t="s">
        <v>223</v>
      </c>
      <c r="X140" s="163" t="s">
        <v>224</v>
      </c>
      <c r="Y140" s="42"/>
    </row>
    <row r="141" spans="1:25" ht="17.25" customHeight="1" thickBot="1">
      <c r="A141" s="1"/>
      <c r="B141" s="1"/>
      <c r="C141" s="1"/>
      <c r="D141" s="355" t="s">
        <v>243</v>
      </c>
      <c r="E141" s="356"/>
      <c r="F141" s="356"/>
      <c r="G141" s="356"/>
      <c r="H141" s="356"/>
      <c r="I141" s="356"/>
      <c r="J141" s="356"/>
      <c r="K141" s="356"/>
      <c r="L141" s="356"/>
      <c r="M141" s="356"/>
      <c r="N141" s="356"/>
      <c r="O141" s="356"/>
      <c r="P141" s="357"/>
      <c r="Q141" s="176">
        <f>Q139/SUM(R141:X141)</f>
        <v>15.304347826086957</v>
      </c>
      <c r="R141" s="311">
        <f>(11)*1.7</f>
        <v>18.7</v>
      </c>
      <c r="S141" s="312"/>
      <c r="T141" s="312"/>
      <c r="U141" s="312"/>
      <c r="V141" s="164">
        <v>1</v>
      </c>
      <c r="W141" s="164">
        <v>0</v>
      </c>
      <c r="X141" s="79">
        <f>1*1</f>
        <v>1</v>
      </c>
      <c r="Y141" s="42"/>
    </row>
    <row r="142" spans="1:25" ht="17.25" customHeight="1" thickBot="1">
      <c r="A142" s="1"/>
      <c r="B142" s="1"/>
      <c r="C142" s="1"/>
      <c r="D142" s="372" t="s">
        <v>244</v>
      </c>
      <c r="E142" s="373"/>
      <c r="F142" s="373"/>
      <c r="G142" s="373"/>
      <c r="H142" s="373"/>
      <c r="I142" s="373"/>
      <c r="J142" s="373"/>
      <c r="K142" s="373"/>
      <c r="L142" s="373"/>
      <c r="M142" s="373"/>
      <c r="N142" s="373"/>
      <c r="O142" s="373"/>
      <c r="P142" s="374"/>
      <c r="Q142" s="59">
        <f>Q141/Q216</f>
        <v>1.1192972236461225</v>
      </c>
      <c r="R142" s="376"/>
      <c r="S142" s="376"/>
      <c r="T142" s="376"/>
      <c r="U142" s="376"/>
      <c r="V142" s="376"/>
      <c r="W142" s="376"/>
      <c r="X142" s="376"/>
      <c r="Y142" s="42"/>
    </row>
    <row r="143" spans="1:25" ht="17.25" customHeight="1" thickBot="1">
      <c r="A143" s="1"/>
      <c r="B143" s="1"/>
      <c r="C143" s="1"/>
      <c r="D143" s="345" t="s">
        <v>245</v>
      </c>
      <c r="E143" s="346"/>
      <c r="F143" s="346"/>
      <c r="G143" s="346"/>
      <c r="H143" s="346"/>
      <c r="I143" s="346"/>
      <c r="J143" s="346"/>
      <c r="K143" s="346"/>
      <c r="L143" s="346"/>
      <c r="M143" s="346"/>
      <c r="N143" s="346"/>
      <c r="O143" s="346"/>
      <c r="P143" s="347"/>
      <c r="Q143" s="170">
        <f>Q140+Q142</f>
        <v>2.0792972236461225</v>
      </c>
      <c r="R143" s="349"/>
      <c r="S143" s="349"/>
      <c r="T143" s="349"/>
      <c r="U143" s="349"/>
      <c r="V143" s="349"/>
      <c r="W143" s="349"/>
      <c r="X143" s="349"/>
      <c r="Y143" s="42"/>
    </row>
    <row r="144" spans="1:25" ht="17.25" customHeight="1" thickBot="1">
      <c r="A144" s="1"/>
      <c r="B144" s="1"/>
      <c r="C144" s="1"/>
      <c r="D144" s="316" t="s">
        <v>269</v>
      </c>
      <c r="E144" s="317"/>
      <c r="F144" s="317"/>
      <c r="G144" s="317"/>
      <c r="H144" s="317"/>
      <c r="I144" s="317"/>
      <c r="J144" s="317"/>
      <c r="K144" s="317"/>
      <c r="L144" s="317"/>
      <c r="M144" s="317"/>
      <c r="N144" s="317"/>
      <c r="O144" s="317"/>
      <c r="P144" s="318"/>
      <c r="Q144" s="173">
        <f>Q139/Q213</f>
        <v>2.888035440078382E-2</v>
      </c>
      <c r="R144" s="349"/>
      <c r="S144" s="349"/>
      <c r="T144" s="349"/>
      <c r="U144" s="349"/>
      <c r="V144" s="349"/>
      <c r="W144" s="349"/>
      <c r="X144" s="349"/>
      <c r="Y144" s="42"/>
    </row>
    <row r="145" spans="1:25" ht="17.25" customHeight="1" thickBot="1">
      <c r="A145" s="1"/>
      <c r="B145" s="1"/>
      <c r="C145" s="1"/>
      <c r="D145" s="303" t="s">
        <v>270</v>
      </c>
      <c r="E145" s="304"/>
      <c r="F145" s="304"/>
      <c r="G145" s="304"/>
      <c r="H145" s="304"/>
      <c r="I145" s="304"/>
      <c r="J145" s="304"/>
      <c r="K145" s="304"/>
      <c r="L145" s="304"/>
      <c r="M145" s="304"/>
      <c r="N145" s="304"/>
      <c r="O145" s="304"/>
      <c r="P145" s="305"/>
      <c r="Q145" s="173">
        <f>Q143/Q217</f>
        <v>0.11552099472087604</v>
      </c>
      <c r="R145" s="349"/>
      <c r="S145" s="349"/>
      <c r="T145" s="349"/>
      <c r="U145" s="349"/>
      <c r="V145" s="349"/>
      <c r="W145" s="349"/>
      <c r="X145" s="349"/>
      <c r="Y145" s="42"/>
    </row>
    <row r="146" spans="1:25" ht="17.25" customHeight="1" thickBot="1">
      <c r="A146" s="1"/>
      <c r="B146" s="1"/>
      <c r="C146" s="1"/>
      <c r="D146" s="298" t="s">
        <v>271</v>
      </c>
      <c r="E146" s="299"/>
      <c r="F146" s="299"/>
      <c r="G146" s="299"/>
      <c r="H146" s="299"/>
      <c r="I146" s="299"/>
      <c r="J146" s="299"/>
      <c r="K146" s="299"/>
      <c r="L146" s="299"/>
      <c r="M146" s="299"/>
      <c r="N146" s="299"/>
      <c r="O146" s="299"/>
      <c r="P146" s="300"/>
      <c r="Q146" s="174">
        <f>((Q144*0.8)+(Q145*0.2))</f>
        <v>4.6208482464802268E-2</v>
      </c>
      <c r="R146" s="349"/>
      <c r="S146" s="349"/>
      <c r="T146" s="349"/>
      <c r="U146" s="349"/>
      <c r="V146" s="349"/>
      <c r="W146" s="349"/>
      <c r="X146" s="349"/>
      <c r="Y146" s="42"/>
    </row>
    <row r="147" spans="1:25" ht="18.75" customHeight="1">
      <c r="A147" s="1"/>
      <c r="B147" s="1"/>
      <c r="C147" s="1"/>
      <c r="D147" s="8"/>
      <c r="E147" s="1"/>
      <c r="F147" s="8"/>
      <c r="G147" s="1"/>
      <c r="H147" s="9"/>
      <c r="I147" s="1"/>
      <c r="J147" s="9"/>
      <c r="K147" s="1"/>
      <c r="L147" s="9"/>
      <c r="M147" s="1"/>
      <c r="N147" s="9"/>
      <c r="O147" s="1"/>
      <c r="P147" s="9"/>
      <c r="Q147" s="1"/>
      <c r="R147" s="349"/>
      <c r="S147" s="349"/>
      <c r="T147" s="349"/>
      <c r="U147" s="349"/>
      <c r="V147" s="349"/>
      <c r="W147" s="349"/>
      <c r="X147" s="349"/>
    </row>
    <row r="148" spans="1:25" ht="14.1" customHeight="1">
      <c r="A148" s="1"/>
      <c r="B148" s="1"/>
      <c r="C148" s="287" t="s">
        <v>90</v>
      </c>
      <c r="D148" s="287"/>
      <c r="E148" s="287"/>
      <c r="F148" s="287"/>
      <c r="G148" s="287"/>
      <c r="H148" s="287"/>
      <c r="I148" s="287"/>
      <c r="J148" s="287"/>
      <c r="K148" s="287"/>
      <c r="L148" s="287"/>
      <c r="M148" s="287"/>
      <c r="N148" s="287"/>
      <c r="O148" s="287"/>
      <c r="P148" s="287"/>
      <c r="Q148" s="287"/>
      <c r="R148" s="287"/>
      <c r="S148" s="1"/>
      <c r="T148" s="1"/>
      <c r="U148" s="1"/>
      <c r="V148" s="315"/>
      <c r="W148" s="315"/>
      <c r="X148" s="315"/>
    </row>
    <row r="149" spans="1:25" ht="0.9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315"/>
      <c r="W149" s="315"/>
      <c r="X149" s="315"/>
    </row>
    <row r="150" spans="1:25" ht="12" customHeight="1">
      <c r="A150" s="1"/>
      <c r="B150" s="1"/>
      <c r="C150" s="1"/>
      <c r="D150" s="319" t="s">
        <v>91</v>
      </c>
      <c r="E150" s="319"/>
      <c r="F150" s="319"/>
      <c r="G150" s="319"/>
      <c r="H150" s="319"/>
      <c r="I150" s="319"/>
      <c r="J150" s="319"/>
      <c r="K150" s="319"/>
      <c r="L150" s="319"/>
      <c r="M150" s="319"/>
      <c r="N150" s="319"/>
      <c r="O150" s="319"/>
      <c r="P150" s="319"/>
      <c r="Q150" s="319"/>
      <c r="R150" s="319"/>
      <c r="S150" s="319"/>
      <c r="T150" s="319"/>
      <c r="U150" s="1"/>
      <c r="V150" s="315"/>
      <c r="W150" s="315"/>
      <c r="X150" s="315"/>
    </row>
    <row r="151" spans="1:25" ht="3.95" customHeight="1" thickBo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402"/>
      <c r="W151" s="402"/>
      <c r="X151" s="402"/>
    </row>
    <row r="152" spans="1:25" ht="27" customHeight="1" thickBot="1">
      <c r="A152" s="1"/>
      <c r="B152" s="1"/>
      <c r="C152" s="1"/>
      <c r="D152" s="18" t="s">
        <v>5</v>
      </c>
      <c r="E152" s="19"/>
      <c r="F152" s="20" t="s">
        <v>6</v>
      </c>
      <c r="G152" s="19"/>
      <c r="H152" s="21" t="s">
        <v>7</v>
      </c>
      <c r="I152" s="19"/>
      <c r="J152" s="21" t="s">
        <v>8</v>
      </c>
      <c r="K152" s="19"/>
      <c r="L152" s="21" t="s">
        <v>9</v>
      </c>
      <c r="M152" s="19"/>
      <c r="N152" s="21" t="s">
        <v>10</v>
      </c>
      <c r="O152" s="19"/>
      <c r="P152" s="50" t="s">
        <v>11</v>
      </c>
      <c r="Q152" s="32" t="s">
        <v>167</v>
      </c>
      <c r="R152" s="334" t="s">
        <v>171</v>
      </c>
      <c r="S152" s="335"/>
      <c r="T152" s="335"/>
      <c r="U152" s="335"/>
      <c r="V152" s="111" t="s">
        <v>191</v>
      </c>
      <c r="W152" s="107" t="s">
        <v>193</v>
      </c>
      <c r="X152" s="108" t="s">
        <v>194</v>
      </c>
    </row>
    <row r="153" spans="1:25" ht="20.25" customHeight="1" thickBot="1">
      <c r="A153" s="1"/>
      <c r="B153" s="1"/>
      <c r="C153" s="1"/>
      <c r="D153" s="447" t="s">
        <v>206</v>
      </c>
      <c r="E153" s="448"/>
      <c r="F153" s="448"/>
      <c r="G153" s="118"/>
      <c r="H153" s="119"/>
      <c r="I153" s="118"/>
      <c r="J153" s="119"/>
      <c r="K153" s="118"/>
      <c r="L153" s="119"/>
      <c r="M153" s="118"/>
      <c r="N153" s="119"/>
      <c r="O153" s="118"/>
      <c r="P153" s="119"/>
      <c r="Q153" s="120"/>
      <c r="R153" s="120"/>
      <c r="S153" s="120"/>
      <c r="T153" s="120"/>
      <c r="U153" s="120"/>
      <c r="V153" s="121"/>
      <c r="W153" s="122"/>
      <c r="X153" s="123"/>
    </row>
    <row r="154" spans="1:25" ht="11.25" customHeight="1">
      <c r="A154" s="1"/>
      <c r="B154" s="1"/>
      <c r="C154" s="1"/>
      <c r="D154" s="112" t="s">
        <v>92</v>
      </c>
      <c r="E154" s="1"/>
      <c r="F154" s="113" t="s">
        <v>72</v>
      </c>
      <c r="G154" s="1"/>
      <c r="H154" s="114" t="s">
        <v>16</v>
      </c>
      <c r="I154" s="1"/>
      <c r="J154" s="114">
        <v>47</v>
      </c>
      <c r="K154" s="1"/>
      <c r="L154" s="114">
        <v>52</v>
      </c>
      <c r="M154" s="1"/>
      <c r="N154" s="114">
        <v>217</v>
      </c>
      <c r="O154" s="1"/>
      <c r="P154" s="115">
        <v>18</v>
      </c>
      <c r="Q154" s="116">
        <f>(((P154)*(1+0.12)+(((L154)-(P154))/4))*1*4*1.15*1)</f>
        <v>131.83600000000001</v>
      </c>
      <c r="R154" s="336">
        <f>(Q154/Q$186)</f>
        <v>2.7153956005919931E-2</v>
      </c>
      <c r="S154" s="337"/>
      <c r="T154" s="337"/>
      <c r="U154" s="338"/>
      <c r="V154" s="77">
        <v>3</v>
      </c>
      <c r="W154" s="95"/>
      <c r="X154" s="117">
        <f>V154/Q214</f>
        <v>0.96</v>
      </c>
    </row>
    <row r="155" spans="1:25" ht="12" customHeight="1">
      <c r="A155" s="1"/>
      <c r="B155" s="1"/>
      <c r="C155" s="1"/>
      <c r="D155" s="99" t="s">
        <v>98</v>
      </c>
      <c r="E155" s="1"/>
      <c r="F155" s="6" t="s">
        <v>99</v>
      </c>
      <c r="G155" s="1"/>
      <c r="H155" s="7" t="s">
        <v>16</v>
      </c>
      <c r="I155" s="1"/>
      <c r="J155" s="7">
        <v>30</v>
      </c>
      <c r="K155" s="1"/>
      <c r="L155" s="7">
        <v>48</v>
      </c>
      <c r="M155" s="1"/>
      <c r="N155" s="7">
        <v>235</v>
      </c>
      <c r="O155" s="1"/>
      <c r="P155" s="51">
        <v>20</v>
      </c>
      <c r="Q155" s="29">
        <f>(((P155)*(1+0.12)+(((L155)-(P155))/4))*1*4*1.15*1)</f>
        <v>135.24</v>
      </c>
      <c r="R155" s="306">
        <f>(Q155/Q$186)</f>
        <v>2.785507001305115E-2</v>
      </c>
      <c r="S155" s="307"/>
      <c r="T155" s="307"/>
      <c r="U155" s="308"/>
      <c r="V155" s="70">
        <v>3</v>
      </c>
      <c r="W155" s="65"/>
      <c r="X155" s="71">
        <f>V155/Q214</f>
        <v>0.96</v>
      </c>
    </row>
    <row r="156" spans="1:25" ht="12.75" customHeight="1">
      <c r="A156" s="1"/>
      <c r="B156" s="1"/>
      <c r="C156" s="1"/>
      <c r="D156" s="99" t="s">
        <v>100</v>
      </c>
      <c r="E156" s="1"/>
      <c r="F156" s="6" t="s">
        <v>101</v>
      </c>
      <c r="G156" s="1"/>
      <c r="H156" s="7" t="s">
        <v>16</v>
      </c>
      <c r="I156" s="1"/>
      <c r="J156" s="7">
        <v>50</v>
      </c>
      <c r="K156" s="1"/>
      <c r="L156" s="7">
        <v>46</v>
      </c>
      <c r="M156" s="1"/>
      <c r="N156" s="7">
        <v>145</v>
      </c>
      <c r="O156" s="1"/>
      <c r="P156" s="51">
        <v>0</v>
      </c>
      <c r="Q156" s="29">
        <f>((N156)*1*1.15*1)</f>
        <v>166.75</v>
      </c>
      <c r="R156" s="306">
        <f>(Q156/Q$186)</f>
        <v>3.4345111835819869E-2</v>
      </c>
      <c r="S156" s="307"/>
      <c r="T156" s="307"/>
      <c r="U156" s="308"/>
      <c r="V156" s="70">
        <v>3</v>
      </c>
      <c r="W156" s="65">
        <v>0</v>
      </c>
      <c r="X156" s="71">
        <f>V156/Q214</f>
        <v>0.96</v>
      </c>
    </row>
    <row r="157" spans="1:25" ht="14.25" customHeight="1">
      <c r="A157" s="1"/>
      <c r="B157" s="1"/>
      <c r="C157" s="1"/>
      <c r="D157" s="99" t="s">
        <v>102</v>
      </c>
      <c r="E157" s="1"/>
      <c r="F157" s="6" t="s">
        <v>103</v>
      </c>
      <c r="G157" s="1"/>
      <c r="H157" s="7" t="s">
        <v>16</v>
      </c>
      <c r="I157" s="1"/>
      <c r="J157" s="7">
        <v>44</v>
      </c>
      <c r="K157" s="1"/>
      <c r="L157" s="7">
        <v>52</v>
      </c>
      <c r="M157" s="1"/>
      <c r="N157" s="7">
        <v>184</v>
      </c>
      <c r="O157" s="1"/>
      <c r="P157" s="51">
        <v>11</v>
      </c>
      <c r="Q157" s="29">
        <f>(((P157)*(1+0.12)+(((L157)-(P157))/4))*1*4*1.15*1)</f>
        <v>103.82199999999999</v>
      </c>
      <c r="R157" s="306">
        <f>(Q157/Q$186)</f>
        <v>2.1383977217502188E-2</v>
      </c>
      <c r="S157" s="307"/>
      <c r="T157" s="307"/>
      <c r="U157" s="308"/>
      <c r="V157" s="70">
        <v>2</v>
      </c>
      <c r="W157" s="65"/>
      <c r="X157" s="71">
        <f>V157/Q214</f>
        <v>0.64</v>
      </c>
    </row>
    <row r="158" spans="1:25" ht="15" customHeight="1" thickBot="1">
      <c r="A158" s="1"/>
      <c r="B158" s="1"/>
      <c r="C158" s="1"/>
      <c r="D158" s="99" t="s">
        <v>105</v>
      </c>
      <c r="E158" s="1"/>
      <c r="F158" s="6" t="s">
        <v>106</v>
      </c>
      <c r="G158" s="1"/>
      <c r="H158" s="7" t="s">
        <v>16</v>
      </c>
      <c r="I158" s="1"/>
      <c r="J158" s="7">
        <v>100</v>
      </c>
      <c r="K158" s="1"/>
      <c r="L158" s="7">
        <v>102</v>
      </c>
      <c r="M158" s="1"/>
      <c r="N158" s="7">
        <v>454</v>
      </c>
      <c r="O158" s="1"/>
      <c r="P158" s="51">
        <v>1</v>
      </c>
      <c r="Q158" s="29">
        <f>(((P158)*(1+0.12)+(((L158)-(P158))/4))*1*5*1.15*1)</f>
        <v>151.62749999999997</v>
      </c>
      <c r="R158" s="306">
        <f>(Q158/Q$186)</f>
        <v>3.123036548657137E-2</v>
      </c>
      <c r="S158" s="307"/>
      <c r="T158" s="307"/>
      <c r="U158" s="308"/>
      <c r="V158" s="158">
        <v>2</v>
      </c>
      <c r="W158" s="94"/>
      <c r="X158" s="159">
        <f>V158/Q214</f>
        <v>0.64</v>
      </c>
    </row>
    <row r="159" spans="1:25" ht="15.75" customHeight="1" thickBot="1">
      <c r="A159" s="1"/>
      <c r="B159" s="1"/>
      <c r="C159" s="1"/>
      <c r="D159" s="385" t="s">
        <v>207</v>
      </c>
      <c r="E159" s="386"/>
      <c r="F159" s="386"/>
      <c r="G159" s="124"/>
      <c r="H159" s="125"/>
      <c r="I159" s="124"/>
      <c r="J159" s="125"/>
      <c r="K159" s="124"/>
      <c r="L159" s="125"/>
      <c r="M159" s="124"/>
      <c r="N159" s="125"/>
      <c r="O159" s="124"/>
      <c r="P159" s="125"/>
      <c r="Q159" s="126"/>
      <c r="R159" s="126"/>
      <c r="S159" s="126"/>
      <c r="T159" s="126"/>
      <c r="U159" s="126"/>
      <c r="V159" s="127"/>
      <c r="W159" s="128"/>
      <c r="X159" s="129"/>
    </row>
    <row r="160" spans="1:25" ht="12.75" customHeight="1">
      <c r="A160" s="1"/>
      <c r="B160" s="1"/>
      <c r="C160" s="1"/>
      <c r="D160" s="102" t="s">
        <v>110</v>
      </c>
      <c r="E160" s="1"/>
      <c r="F160" s="6" t="s">
        <v>111</v>
      </c>
      <c r="G160" s="1"/>
      <c r="H160" s="7" t="s">
        <v>25</v>
      </c>
      <c r="I160" s="1"/>
      <c r="J160" s="7">
        <v>50</v>
      </c>
      <c r="K160" s="1"/>
      <c r="L160" s="7">
        <v>46</v>
      </c>
      <c r="M160" s="1"/>
      <c r="N160" s="7">
        <v>176</v>
      </c>
      <c r="O160" s="1"/>
      <c r="P160" s="51">
        <v>0</v>
      </c>
      <c r="Q160" s="29">
        <f>((N160)*2*1*1)</f>
        <v>352</v>
      </c>
      <c r="R160" s="306">
        <f>(Q160/Q$186)</f>
        <v>7.2500625884309403E-2</v>
      </c>
      <c r="S160" s="307"/>
      <c r="T160" s="307"/>
      <c r="U160" s="308"/>
      <c r="V160" s="70">
        <v>3</v>
      </c>
      <c r="W160" s="65">
        <v>0</v>
      </c>
      <c r="X160" s="71">
        <f>V160/Q214</f>
        <v>0.96</v>
      </c>
    </row>
    <row r="161" spans="1:24" ht="12.75" customHeight="1">
      <c r="A161" s="1"/>
      <c r="B161" s="1"/>
      <c r="C161" s="1"/>
      <c r="D161" s="102" t="s">
        <v>112</v>
      </c>
      <c r="E161" s="1"/>
      <c r="F161" s="6" t="s">
        <v>113</v>
      </c>
      <c r="G161" s="1"/>
      <c r="H161" s="7" t="s">
        <v>25</v>
      </c>
      <c r="I161" s="1"/>
      <c r="J161" s="7">
        <v>0</v>
      </c>
      <c r="K161" s="1"/>
      <c r="L161" s="7">
        <v>2</v>
      </c>
      <c r="M161" s="1"/>
      <c r="N161" s="7">
        <v>164</v>
      </c>
      <c r="O161" s="1"/>
      <c r="P161" s="51">
        <v>4</v>
      </c>
      <c r="Q161" s="29">
        <f>((N161)*2*1*1)</f>
        <v>328</v>
      </c>
      <c r="R161" s="306">
        <f>(Q161/Q$186)</f>
        <v>6.7557401392197403E-2</v>
      </c>
      <c r="S161" s="307"/>
      <c r="T161" s="307"/>
      <c r="U161" s="308"/>
      <c r="V161" s="70">
        <v>3</v>
      </c>
      <c r="W161" s="65" t="s">
        <v>189</v>
      </c>
      <c r="X161" s="71">
        <f>V161/Q214</f>
        <v>0.96</v>
      </c>
    </row>
    <row r="162" spans="1:24" ht="12.75" customHeight="1" thickBot="1">
      <c r="A162" s="1"/>
      <c r="B162" s="1"/>
      <c r="C162" s="1"/>
      <c r="D162" s="102" t="s">
        <v>121</v>
      </c>
      <c r="E162" s="1"/>
      <c r="F162" s="6" t="s">
        <v>122</v>
      </c>
      <c r="G162" s="1"/>
      <c r="H162" s="7" t="s">
        <v>34</v>
      </c>
      <c r="I162" s="1"/>
      <c r="J162" s="7">
        <v>45</v>
      </c>
      <c r="K162" s="1"/>
      <c r="L162" s="7">
        <v>45</v>
      </c>
      <c r="M162" s="1"/>
      <c r="N162" s="7">
        <v>172</v>
      </c>
      <c r="O162" s="1"/>
      <c r="P162" s="51">
        <v>9</v>
      </c>
      <c r="Q162" s="29">
        <f>(((P162)*(1+0.1325)+(((L162)-(P162))/4))*1.5*4*1*1)</f>
        <v>115.15500000000002</v>
      </c>
      <c r="R162" s="306">
        <f>(Q162/Q$186)</f>
        <v>2.3718209016214915E-2</v>
      </c>
      <c r="S162" s="307"/>
      <c r="T162" s="307"/>
      <c r="U162" s="308"/>
      <c r="V162" s="70">
        <v>3</v>
      </c>
      <c r="W162" s="65"/>
      <c r="X162" s="71">
        <f>V162/Q214</f>
        <v>0.96</v>
      </c>
    </row>
    <row r="163" spans="1:24" ht="12.75" customHeight="1" thickBot="1">
      <c r="A163" s="1"/>
      <c r="B163" s="1"/>
      <c r="C163" s="1"/>
      <c r="D163" s="387" t="s">
        <v>210</v>
      </c>
      <c r="E163" s="388"/>
      <c r="F163" s="388"/>
      <c r="G163" s="130"/>
      <c r="H163" s="131"/>
      <c r="I163" s="130"/>
      <c r="J163" s="131"/>
      <c r="K163" s="130"/>
      <c r="L163" s="131"/>
      <c r="M163" s="130"/>
      <c r="N163" s="131"/>
      <c r="O163" s="130"/>
      <c r="P163" s="131"/>
      <c r="Q163" s="132"/>
      <c r="R163" s="132"/>
      <c r="S163" s="132"/>
      <c r="T163" s="132"/>
      <c r="U163" s="132"/>
      <c r="V163" s="133"/>
      <c r="W163" s="134"/>
      <c r="X163" s="135"/>
    </row>
    <row r="164" spans="1:24" ht="13.5" customHeight="1">
      <c r="A164" s="1"/>
      <c r="B164" s="1"/>
      <c r="C164" s="1"/>
      <c r="D164" s="104" t="s">
        <v>97</v>
      </c>
      <c r="E164" s="1"/>
      <c r="F164" s="6" t="s">
        <v>211</v>
      </c>
      <c r="G164" s="1"/>
      <c r="H164" s="7" t="s">
        <v>25</v>
      </c>
      <c r="I164" s="1"/>
      <c r="J164" s="7">
        <v>45</v>
      </c>
      <c r="K164" s="1"/>
      <c r="L164" s="7">
        <v>46</v>
      </c>
      <c r="M164" s="1"/>
      <c r="N164" s="7">
        <v>179</v>
      </c>
      <c r="O164" s="1"/>
      <c r="P164" s="51">
        <v>22</v>
      </c>
      <c r="Q164" s="29">
        <f>(((P164)*(1+0.125)+(((L164)-(P164))/4))*2*4*1*1)</f>
        <v>246</v>
      </c>
      <c r="R164" s="306">
        <f>(Q164/Q$186)</f>
        <v>5.0668051044148045E-2</v>
      </c>
      <c r="S164" s="307"/>
      <c r="T164" s="307"/>
      <c r="U164" s="308"/>
      <c r="V164" s="70">
        <v>4</v>
      </c>
      <c r="W164" s="65"/>
      <c r="X164" s="71">
        <f>V164/Q214</f>
        <v>1.28</v>
      </c>
    </row>
    <row r="165" spans="1:24" ht="12.75" customHeight="1">
      <c r="A165" s="1"/>
      <c r="B165" s="1"/>
      <c r="C165" s="1"/>
      <c r="D165" s="104" t="s">
        <v>116</v>
      </c>
      <c r="E165" s="1"/>
      <c r="F165" s="6" t="s">
        <v>117</v>
      </c>
      <c r="G165" s="1"/>
      <c r="H165" s="7" t="s">
        <v>34</v>
      </c>
      <c r="I165" s="1"/>
      <c r="J165" s="7">
        <v>50</v>
      </c>
      <c r="K165" s="1"/>
      <c r="L165" s="7">
        <v>50</v>
      </c>
      <c r="M165" s="1"/>
      <c r="N165" s="7">
        <v>121</v>
      </c>
      <c r="O165" s="1"/>
      <c r="P165" s="51">
        <v>7</v>
      </c>
      <c r="Q165" s="29">
        <f>((N165)*2*1*1)</f>
        <v>242</v>
      </c>
      <c r="R165" s="306">
        <f>(Q165/Q$186)</f>
        <v>4.9844180295462712E-2</v>
      </c>
      <c r="S165" s="307"/>
      <c r="T165" s="307"/>
      <c r="U165" s="308"/>
      <c r="V165" s="70">
        <v>4</v>
      </c>
      <c r="W165" s="65"/>
      <c r="X165" s="71">
        <f>V165/Q214</f>
        <v>1.28</v>
      </c>
    </row>
    <row r="166" spans="1:24" ht="12.75" customHeight="1">
      <c r="A166" s="1"/>
      <c r="B166" s="1"/>
      <c r="C166" s="1"/>
      <c r="D166" s="104" t="s">
        <v>118</v>
      </c>
      <c r="E166" s="1"/>
      <c r="F166" s="6" t="s">
        <v>119</v>
      </c>
      <c r="G166" s="1"/>
      <c r="H166" s="7" t="s">
        <v>14</v>
      </c>
      <c r="I166" s="1"/>
      <c r="J166" s="7">
        <v>50</v>
      </c>
      <c r="K166" s="1"/>
      <c r="L166" s="7">
        <v>48</v>
      </c>
      <c r="M166" s="1"/>
      <c r="N166" s="7">
        <v>203</v>
      </c>
      <c r="O166" s="1"/>
      <c r="P166" s="51">
        <v>15</v>
      </c>
      <c r="Q166" s="29">
        <f>(((P166)*(1+0.1)+(((L166)-(P166))/4))*1*4*1*1)</f>
        <v>99</v>
      </c>
      <c r="R166" s="306">
        <f>(Q166/Q$186)</f>
        <v>2.0390801029962019E-2</v>
      </c>
      <c r="S166" s="307"/>
      <c r="T166" s="307"/>
      <c r="U166" s="308"/>
      <c r="V166" s="70">
        <v>3</v>
      </c>
      <c r="W166" s="65"/>
      <c r="X166" s="71">
        <f>V166/Q214</f>
        <v>0.96</v>
      </c>
    </row>
    <row r="167" spans="1:24" ht="13.5" customHeight="1">
      <c r="A167" s="1"/>
      <c r="B167" s="1"/>
      <c r="C167" s="1"/>
      <c r="D167" s="104" t="s">
        <v>129</v>
      </c>
      <c r="E167" s="1"/>
      <c r="F167" s="6" t="s">
        <v>130</v>
      </c>
      <c r="G167" s="1"/>
      <c r="H167" s="7" t="s">
        <v>34</v>
      </c>
      <c r="I167" s="1"/>
      <c r="J167" s="7">
        <v>45</v>
      </c>
      <c r="K167" s="1"/>
      <c r="L167" s="7">
        <v>47</v>
      </c>
      <c r="M167" s="1"/>
      <c r="N167" s="7">
        <v>147</v>
      </c>
      <c r="O167" s="1"/>
      <c r="P167" s="51">
        <v>11</v>
      </c>
      <c r="Q167" s="29">
        <f>(((P167)*(1+0.1325)+(((L167)-(P167))/4))*1.5*4*1*1)</f>
        <v>128.745</v>
      </c>
      <c r="R167" s="306">
        <f>(Q167/Q$186)</f>
        <v>2.6517309884873337E-2</v>
      </c>
      <c r="S167" s="307"/>
      <c r="T167" s="307"/>
      <c r="U167" s="308"/>
      <c r="V167" s="70">
        <v>3</v>
      </c>
      <c r="W167" s="65"/>
      <c r="X167" s="71">
        <f>V167/Q214</f>
        <v>0.96</v>
      </c>
    </row>
    <row r="168" spans="1:24" ht="13.5" customHeight="1" thickBot="1">
      <c r="A168" s="1"/>
      <c r="B168" s="1"/>
      <c r="C168" s="1"/>
      <c r="D168" s="104" t="s">
        <v>138</v>
      </c>
      <c r="E168" s="1"/>
      <c r="F168" s="6" t="s">
        <v>139</v>
      </c>
      <c r="G168" s="1"/>
      <c r="H168" s="7" t="s">
        <v>34</v>
      </c>
      <c r="I168" s="1"/>
      <c r="J168" s="7">
        <v>50</v>
      </c>
      <c r="K168" s="1"/>
      <c r="L168" s="7">
        <v>24</v>
      </c>
      <c r="M168" s="1"/>
      <c r="N168" s="7">
        <v>151</v>
      </c>
      <c r="O168" s="1"/>
      <c r="P168" s="51">
        <v>12</v>
      </c>
      <c r="Q168" s="29">
        <f>(((P168)*(1+0.1325)+(((L168)-(P168))/4))*2*4*1*1)</f>
        <v>132.72</v>
      </c>
      <c r="R168" s="306">
        <f>(Q168/Q$186)</f>
        <v>2.7336031441379385E-2</v>
      </c>
      <c r="S168" s="307"/>
      <c r="T168" s="307"/>
      <c r="U168" s="308"/>
      <c r="V168" s="70">
        <v>4</v>
      </c>
      <c r="W168" s="65"/>
      <c r="X168" s="71">
        <f>V168/Q214</f>
        <v>1.28</v>
      </c>
    </row>
    <row r="169" spans="1:24" ht="13.5" customHeight="1" thickBot="1">
      <c r="A169" s="1"/>
      <c r="B169" s="1"/>
      <c r="C169" s="1"/>
      <c r="D169" s="443" t="s">
        <v>208</v>
      </c>
      <c r="E169" s="444"/>
      <c r="F169" s="444"/>
      <c r="G169" s="136"/>
      <c r="H169" s="137"/>
      <c r="I169" s="136"/>
      <c r="J169" s="137"/>
      <c r="K169" s="136"/>
      <c r="L169" s="137"/>
      <c r="M169" s="136"/>
      <c r="N169" s="137"/>
      <c r="O169" s="136"/>
      <c r="P169" s="137"/>
      <c r="Q169" s="138"/>
      <c r="R169" s="138"/>
      <c r="S169" s="138"/>
      <c r="T169" s="138"/>
      <c r="U169" s="138"/>
      <c r="V169" s="139"/>
      <c r="W169" s="140"/>
      <c r="X169" s="141"/>
    </row>
    <row r="170" spans="1:24" ht="12.75" customHeight="1">
      <c r="A170" s="1"/>
      <c r="B170" s="1"/>
      <c r="C170" s="1"/>
      <c r="D170" s="153" t="s">
        <v>93</v>
      </c>
      <c r="E170" s="19"/>
      <c r="F170" s="154" t="s">
        <v>94</v>
      </c>
      <c r="G170" s="19"/>
      <c r="H170" s="155" t="s">
        <v>34</v>
      </c>
      <c r="I170" s="19"/>
      <c r="J170" s="155">
        <v>50</v>
      </c>
      <c r="K170" s="19"/>
      <c r="L170" s="155">
        <v>17</v>
      </c>
      <c r="M170" s="19"/>
      <c r="N170" s="155">
        <v>93</v>
      </c>
      <c r="O170" s="19"/>
      <c r="P170" s="156">
        <v>0</v>
      </c>
      <c r="Q170" s="157">
        <f>((N170)*1*1*1)</f>
        <v>93</v>
      </c>
      <c r="R170" s="429">
        <f t="shared" ref="R170:R180" si="2">(Q170/Q$186)</f>
        <v>1.9154994906934019E-2</v>
      </c>
      <c r="S170" s="430"/>
      <c r="T170" s="430"/>
      <c r="U170" s="431"/>
      <c r="V170" s="92">
        <v>3</v>
      </c>
      <c r="W170" s="93">
        <v>0</v>
      </c>
      <c r="X170" s="91">
        <f>V170/Q214</f>
        <v>0.96</v>
      </c>
    </row>
    <row r="171" spans="1:24" ht="11.25" customHeight="1">
      <c r="A171" s="1"/>
      <c r="B171" s="1"/>
      <c r="C171" s="1"/>
      <c r="D171" s="100" t="s">
        <v>95</v>
      </c>
      <c r="E171" s="1"/>
      <c r="F171" s="6" t="s">
        <v>96</v>
      </c>
      <c r="G171" s="1"/>
      <c r="H171" s="7" t="s">
        <v>34</v>
      </c>
      <c r="I171" s="1"/>
      <c r="J171" s="7">
        <v>0</v>
      </c>
      <c r="K171" s="1"/>
      <c r="L171" s="7">
        <v>0</v>
      </c>
      <c r="M171" s="1"/>
      <c r="N171" s="7">
        <v>12</v>
      </c>
      <c r="O171" s="1"/>
      <c r="P171" s="51">
        <v>0</v>
      </c>
      <c r="Q171" s="149">
        <f>((N171)*1.5*1*1)</f>
        <v>18</v>
      </c>
      <c r="R171" s="306">
        <f t="shared" si="2"/>
        <v>3.7074183690840035E-3</v>
      </c>
      <c r="S171" s="307"/>
      <c r="T171" s="307"/>
      <c r="U171" s="416"/>
      <c r="V171" s="150">
        <v>3</v>
      </c>
      <c r="W171" s="65">
        <v>0</v>
      </c>
      <c r="X171" s="71">
        <f>V171/Q214</f>
        <v>0.96</v>
      </c>
    </row>
    <row r="172" spans="1:24" ht="12" customHeight="1">
      <c r="A172" s="1"/>
      <c r="B172" s="1"/>
      <c r="C172" s="1"/>
      <c r="D172" s="100" t="s">
        <v>104</v>
      </c>
      <c r="E172" s="1"/>
      <c r="F172" s="6" t="s">
        <v>212</v>
      </c>
      <c r="G172" s="1"/>
      <c r="H172" s="7" t="s">
        <v>16</v>
      </c>
      <c r="I172" s="1"/>
      <c r="J172" s="7">
        <v>45</v>
      </c>
      <c r="K172" s="1"/>
      <c r="L172" s="7">
        <v>45</v>
      </c>
      <c r="M172" s="1"/>
      <c r="N172" s="7">
        <v>148</v>
      </c>
      <c r="O172" s="1"/>
      <c r="P172" s="51">
        <v>3</v>
      </c>
      <c r="Q172" s="149">
        <f>((N172)*1*1.15*1)</f>
        <v>170.2</v>
      </c>
      <c r="R172" s="389">
        <f t="shared" si="2"/>
        <v>3.5055700356560963E-2</v>
      </c>
      <c r="S172" s="390"/>
      <c r="T172" s="390"/>
      <c r="U172" s="391"/>
      <c r="V172" s="150">
        <v>2</v>
      </c>
      <c r="W172" s="65"/>
      <c r="X172" s="71">
        <f>V172/Q214</f>
        <v>0.64</v>
      </c>
    </row>
    <row r="173" spans="1:24" ht="12.75" customHeight="1">
      <c r="A173" s="1"/>
      <c r="B173" s="1"/>
      <c r="C173" s="1"/>
      <c r="D173" s="100" t="s">
        <v>114</v>
      </c>
      <c r="E173" s="1"/>
      <c r="F173" s="6" t="s">
        <v>115</v>
      </c>
      <c r="G173" s="1"/>
      <c r="H173" s="7" t="s">
        <v>16</v>
      </c>
      <c r="I173" s="1"/>
      <c r="J173" s="7">
        <v>50</v>
      </c>
      <c r="K173" s="1"/>
      <c r="L173" s="7">
        <v>33</v>
      </c>
      <c r="M173" s="1"/>
      <c r="N173" s="7">
        <v>111</v>
      </c>
      <c r="O173" s="1"/>
      <c r="P173" s="51">
        <v>0</v>
      </c>
      <c r="Q173" s="149">
        <f>((N173)*1*1.15*1)</f>
        <v>127.64999999999999</v>
      </c>
      <c r="R173" s="389">
        <f t="shared" si="2"/>
        <v>2.6291775267420724E-2</v>
      </c>
      <c r="S173" s="390"/>
      <c r="T173" s="390"/>
      <c r="U173" s="391"/>
      <c r="V173" s="150">
        <v>4</v>
      </c>
      <c r="W173" s="65" t="s">
        <v>189</v>
      </c>
      <c r="X173" s="71">
        <f>V173/Q214</f>
        <v>1.28</v>
      </c>
    </row>
    <row r="174" spans="1:24" ht="12.75" customHeight="1">
      <c r="A174" s="1"/>
      <c r="B174" s="1"/>
      <c r="C174" s="1"/>
      <c r="D174" s="100" t="s">
        <v>120</v>
      </c>
      <c r="E174" s="1"/>
      <c r="F174" s="6" t="s">
        <v>64</v>
      </c>
      <c r="G174" s="1"/>
      <c r="H174" s="7" t="s">
        <v>14</v>
      </c>
      <c r="I174" s="1"/>
      <c r="J174" s="7">
        <v>50</v>
      </c>
      <c r="K174" s="1"/>
      <c r="L174" s="7">
        <v>51</v>
      </c>
      <c r="M174" s="1"/>
      <c r="N174" s="7">
        <v>163</v>
      </c>
      <c r="O174" s="1"/>
      <c r="P174" s="51">
        <v>18</v>
      </c>
      <c r="Q174" s="149">
        <f>(((P174)*(1+0.1)+(((L174)-(P174))/4))*1*4*1*1)</f>
        <v>112.2</v>
      </c>
      <c r="R174" s="389">
        <f t="shared" si="2"/>
        <v>2.3109574500623623E-2</v>
      </c>
      <c r="S174" s="390"/>
      <c r="T174" s="390"/>
      <c r="U174" s="391"/>
      <c r="V174" s="150">
        <v>2</v>
      </c>
      <c r="W174" s="65"/>
      <c r="X174" s="71">
        <f>V174/Q214</f>
        <v>0.64</v>
      </c>
    </row>
    <row r="175" spans="1:24" ht="12" customHeight="1">
      <c r="A175" s="1"/>
      <c r="B175" s="1"/>
      <c r="C175" s="1"/>
      <c r="D175" s="100" t="s">
        <v>123</v>
      </c>
      <c r="E175" s="1"/>
      <c r="F175" s="6" t="s">
        <v>124</v>
      </c>
      <c r="G175" s="1"/>
      <c r="H175" s="7" t="s">
        <v>14</v>
      </c>
      <c r="I175" s="1"/>
      <c r="J175" s="7">
        <v>25</v>
      </c>
      <c r="K175" s="1"/>
      <c r="L175" s="7">
        <v>26</v>
      </c>
      <c r="M175" s="1"/>
      <c r="N175" s="7">
        <v>82</v>
      </c>
      <c r="O175" s="1"/>
      <c r="P175" s="51">
        <v>9</v>
      </c>
      <c r="Q175" s="149">
        <f>(((P175)*(1+0.115)+(((L175)-(P175))/4))*1*4*1*1)</f>
        <v>57.14</v>
      </c>
      <c r="R175" s="389">
        <f t="shared" si="2"/>
        <v>1.1768993644969998E-2</v>
      </c>
      <c r="S175" s="390"/>
      <c r="T175" s="390"/>
      <c r="U175" s="391"/>
      <c r="V175" s="150">
        <v>3</v>
      </c>
      <c r="W175" s="65">
        <v>0</v>
      </c>
      <c r="X175" s="71">
        <f>V175/Q214</f>
        <v>0.96</v>
      </c>
    </row>
    <row r="176" spans="1:24" ht="12.75" customHeight="1">
      <c r="A176" s="1"/>
      <c r="B176" s="1"/>
      <c r="C176" s="1"/>
      <c r="D176" s="100" t="s">
        <v>125</v>
      </c>
      <c r="E176" s="1"/>
      <c r="F176" s="6" t="s">
        <v>126</v>
      </c>
      <c r="G176" s="1"/>
      <c r="H176" s="7" t="s">
        <v>14</v>
      </c>
      <c r="I176" s="1"/>
      <c r="J176" s="7">
        <v>25</v>
      </c>
      <c r="K176" s="1"/>
      <c r="L176" s="7">
        <v>25</v>
      </c>
      <c r="M176" s="1"/>
      <c r="N176" s="7">
        <v>86</v>
      </c>
      <c r="O176" s="1"/>
      <c r="P176" s="51">
        <v>4</v>
      </c>
      <c r="Q176" s="149">
        <f>(((P176)*(1+0.115)+(((L176)-(P176))/4))*1*4*1*1)</f>
        <v>38.840000000000003</v>
      </c>
      <c r="R176" s="389">
        <f t="shared" si="2"/>
        <v>7.9997849697345958E-3</v>
      </c>
      <c r="S176" s="390"/>
      <c r="T176" s="390"/>
      <c r="U176" s="391"/>
      <c r="V176" s="150">
        <v>3</v>
      </c>
      <c r="W176" s="65">
        <v>0</v>
      </c>
      <c r="X176" s="71">
        <f>V176/Q214</f>
        <v>0.96</v>
      </c>
    </row>
    <row r="177" spans="1:24" ht="14.25" customHeight="1">
      <c r="A177" s="1"/>
      <c r="B177" s="1"/>
      <c r="C177" s="1"/>
      <c r="D177" s="100" t="s">
        <v>127</v>
      </c>
      <c r="E177" s="1"/>
      <c r="F177" s="6" t="s">
        <v>128</v>
      </c>
      <c r="G177" s="1"/>
      <c r="H177" s="7" t="s">
        <v>14</v>
      </c>
      <c r="I177" s="1"/>
      <c r="J177" s="7">
        <v>50</v>
      </c>
      <c r="K177" s="1"/>
      <c r="L177" s="7">
        <v>53</v>
      </c>
      <c r="M177" s="1"/>
      <c r="N177" s="7">
        <v>174</v>
      </c>
      <c r="O177" s="1"/>
      <c r="P177" s="51">
        <v>22</v>
      </c>
      <c r="Q177" s="149">
        <f>(((P177)*(1+0.115)+(((L177)-(P177))/4))*1*4*1*1)</f>
        <v>129.12</v>
      </c>
      <c r="R177" s="389">
        <f t="shared" si="2"/>
        <v>2.6594547767562586E-2</v>
      </c>
      <c r="S177" s="390"/>
      <c r="T177" s="390"/>
      <c r="U177" s="391"/>
      <c r="V177" s="150">
        <v>4</v>
      </c>
      <c r="W177" s="65"/>
      <c r="X177" s="71">
        <f>V177/Q214</f>
        <v>1.28</v>
      </c>
    </row>
    <row r="178" spans="1:24" ht="12.75" customHeight="1">
      <c r="A178" s="1"/>
      <c r="B178" s="1"/>
      <c r="C178" s="1"/>
      <c r="D178" s="100" t="s">
        <v>133</v>
      </c>
      <c r="E178" s="1"/>
      <c r="F178" s="6" t="s">
        <v>134</v>
      </c>
      <c r="G178" s="1"/>
      <c r="H178" s="7" t="s">
        <v>34</v>
      </c>
      <c r="I178" s="1"/>
      <c r="J178" s="7">
        <v>0</v>
      </c>
      <c r="K178" s="1"/>
      <c r="L178" s="7">
        <v>0</v>
      </c>
      <c r="M178" s="1"/>
      <c r="N178" s="7">
        <v>34</v>
      </c>
      <c r="O178" s="1"/>
      <c r="P178" s="51">
        <v>0</v>
      </c>
      <c r="Q178" s="149">
        <f>((N178)*1.5*1*1)</f>
        <v>51</v>
      </c>
      <c r="R178" s="389">
        <f t="shared" si="2"/>
        <v>1.050435204573801E-2</v>
      </c>
      <c r="S178" s="390"/>
      <c r="T178" s="390"/>
      <c r="U178" s="391"/>
      <c r="V178" s="150">
        <v>3</v>
      </c>
      <c r="W178" s="65">
        <v>0</v>
      </c>
      <c r="X178" s="71">
        <f>V178/Q214</f>
        <v>0.96</v>
      </c>
    </row>
    <row r="179" spans="1:24" ht="12.75" customHeight="1">
      <c r="A179" s="1"/>
      <c r="B179" s="1"/>
      <c r="C179" s="1"/>
      <c r="D179" s="100" t="s">
        <v>135</v>
      </c>
      <c r="E179" s="1"/>
      <c r="F179" s="6" t="s">
        <v>89</v>
      </c>
      <c r="G179" s="1"/>
      <c r="H179" s="7" t="s">
        <v>34</v>
      </c>
      <c r="I179" s="1"/>
      <c r="J179" s="7">
        <v>45</v>
      </c>
      <c r="K179" s="1"/>
      <c r="L179" s="7">
        <v>47</v>
      </c>
      <c r="M179" s="1"/>
      <c r="N179" s="7">
        <v>197</v>
      </c>
      <c r="O179" s="1"/>
      <c r="P179" s="51">
        <v>32</v>
      </c>
      <c r="Q179" s="149">
        <f>(((P179)*(1+0.1)+(((L179)-(P179))/4))*1*4*1*1)</f>
        <v>155.80000000000001</v>
      </c>
      <c r="R179" s="389">
        <f t="shared" si="2"/>
        <v>3.2089765661293769E-2</v>
      </c>
      <c r="S179" s="390"/>
      <c r="T179" s="390"/>
      <c r="U179" s="391"/>
      <c r="V179" s="150">
        <v>5</v>
      </c>
      <c r="W179" s="65"/>
      <c r="X179" s="71">
        <f>V179/Q214</f>
        <v>1.6</v>
      </c>
    </row>
    <row r="180" spans="1:24" ht="12.75" customHeight="1" thickBot="1">
      <c r="A180" s="1"/>
      <c r="B180" s="1"/>
      <c r="C180" s="1"/>
      <c r="D180" s="101" t="s">
        <v>140</v>
      </c>
      <c r="E180" s="53"/>
      <c r="F180" s="54" t="s">
        <v>141</v>
      </c>
      <c r="G180" s="53"/>
      <c r="H180" s="55" t="s">
        <v>34</v>
      </c>
      <c r="I180" s="53"/>
      <c r="J180" s="55">
        <v>0</v>
      </c>
      <c r="K180" s="53"/>
      <c r="L180" s="55">
        <v>0</v>
      </c>
      <c r="M180" s="53"/>
      <c r="N180" s="55">
        <v>16</v>
      </c>
      <c r="O180" s="53"/>
      <c r="P180" s="56">
        <v>0</v>
      </c>
      <c r="Q180" s="151">
        <f>((N180)*1.5*1*1)</f>
        <v>24</v>
      </c>
      <c r="R180" s="322">
        <f t="shared" si="2"/>
        <v>4.9432244921120043E-3</v>
      </c>
      <c r="S180" s="323"/>
      <c r="T180" s="323"/>
      <c r="U180" s="412"/>
      <c r="V180" s="152">
        <v>3</v>
      </c>
      <c r="W180" s="78">
        <v>0</v>
      </c>
      <c r="X180" s="79">
        <f>V180/Q214</f>
        <v>0.96</v>
      </c>
    </row>
    <row r="181" spans="1:24" ht="12.75" customHeight="1" thickBot="1">
      <c r="A181" s="1"/>
      <c r="B181" s="1"/>
      <c r="C181" s="1"/>
      <c r="D181" s="445" t="s">
        <v>209</v>
      </c>
      <c r="E181" s="446"/>
      <c r="F181" s="446"/>
      <c r="G181" s="142"/>
      <c r="H181" s="143"/>
      <c r="I181" s="142"/>
      <c r="J181" s="143"/>
      <c r="K181" s="142"/>
      <c r="L181" s="143"/>
      <c r="M181" s="142"/>
      <c r="N181" s="143"/>
      <c r="O181" s="142"/>
      <c r="P181" s="143"/>
      <c r="Q181" s="144"/>
      <c r="R181" s="144"/>
      <c r="S181" s="144"/>
      <c r="T181" s="144"/>
      <c r="U181" s="144"/>
      <c r="V181" s="145"/>
      <c r="W181" s="146"/>
      <c r="X181" s="147"/>
    </row>
    <row r="182" spans="1:24" ht="13.5" customHeight="1">
      <c r="A182" s="1"/>
      <c r="B182" s="1"/>
      <c r="C182" s="1"/>
      <c r="D182" s="103" t="s">
        <v>107</v>
      </c>
      <c r="E182" s="1"/>
      <c r="F182" s="6" t="s">
        <v>108</v>
      </c>
      <c r="G182" s="1"/>
      <c r="H182" s="7" t="s">
        <v>34</v>
      </c>
      <c r="I182" s="1"/>
      <c r="J182" s="7">
        <v>36</v>
      </c>
      <c r="K182" s="1"/>
      <c r="L182" s="7">
        <v>44</v>
      </c>
      <c r="M182" s="1"/>
      <c r="N182" s="7">
        <v>195</v>
      </c>
      <c r="O182" s="1"/>
      <c r="P182" s="51">
        <v>21</v>
      </c>
      <c r="Q182" s="40">
        <f>(((P182)*(1+0.066)+(((L182)-(P182))/4))*1.5*5*1*1)</f>
        <v>211.02000000000004</v>
      </c>
      <c r="R182" s="413">
        <f>(Q182/Q$186)</f>
        <v>4.3463301346894807E-2</v>
      </c>
      <c r="S182" s="414"/>
      <c r="T182" s="414"/>
      <c r="U182" s="415"/>
      <c r="V182" s="70">
        <v>3</v>
      </c>
      <c r="W182" s="65"/>
      <c r="X182" s="71">
        <f>V182/Q214</f>
        <v>0.96</v>
      </c>
    </row>
    <row r="183" spans="1:24" ht="12.75" customHeight="1">
      <c r="A183" s="1"/>
      <c r="B183" s="1"/>
      <c r="C183" s="1"/>
      <c r="D183" s="103" t="s">
        <v>109</v>
      </c>
      <c r="E183" s="1"/>
      <c r="F183" s="6" t="s">
        <v>213</v>
      </c>
      <c r="G183" s="1"/>
      <c r="H183" s="7" t="s">
        <v>25</v>
      </c>
      <c r="I183" s="1"/>
      <c r="J183" s="7">
        <v>30</v>
      </c>
      <c r="K183" s="1"/>
      <c r="L183" s="7">
        <v>26</v>
      </c>
      <c r="M183" s="1"/>
      <c r="N183" s="7">
        <v>145</v>
      </c>
      <c r="O183" s="1"/>
      <c r="P183" s="51">
        <v>30</v>
      </c>
      <c r="Q183" s="29">
        <f>(((P183)*(1+0.066)+(((L183)-(P183))/4))*1.5*5*1*1)</f>
        <v>232.35</v>
      </c>
      <c r="R183" s="389">
        <f>(Q183/Q$186)</f>
        <v>4.7856592114259341E-2</v>
      </c>
      <c r="S183" s="390"/>
      <c r="T183" s="390"/>
      <c r="U183" s="391"/>
      <c r="V183" s="70">
        <v>4</v>
      </c>
      <c r="W183" s="65"/>
      <c r="X183" s="71">
        <f>V183/Q214</f>
        <v>1.28</v>
      </c>
    </row>
    <row r="184" spans="1:24" ht="13.5" customHeight="1">
      <c r="A184" s="1"/>
      <c r="B184" s="1"/>
      <c r="C184" s="1"/>
      <c r="D184" s="103" t="s">
        <v>131</v>
      </c>
      <c r="E184" s="1"/>
      <c r="F184" s="6" t="s">
        <v>132</v>
      </c>
      <c r="G184" s="1"/>
      <c r="H184" s="7" t="s">
        <v>25</v>
      </c>
      <c r="I184" s="1"/>
      <c r="J184" s="7">
        <v>40</v>
      </c>
      <c r="K184" s="1"/>
      <c r="L184" s="7">
        <v>34</v>
      </c>
      <c r="M184" s="1"/>
      <c r="N184" s="7">
        <v>268</v>
      </c>
      <c r="O184" s="1"/>
      <c r="P184" s="51">
        <v>33</v>
      </c>
      <c r="Q184" s="29">
        <f>(((P184)*(1+0.065)+(((L184)-(P184))/4))*4.5*6*1*1)</f>
        <v>955.66499999999985</v>
      </c>
      <c r="R184" s="389">
        <f>(Q184/Q$186)</f>
        <v>0.19683610976059243</v>
      </c>
      <c r="S184" s="390"/>
      <c r="T184" s="390"/>
      <c r="U184" s="391"/>
      <c r="V184" s="70">
        <v>3</v>
      </c>
      <c r="W184" s="65"/>
      <c r="X184" s="71">
        <f>V184/Q214</f>
        <v>0.96</v>
      </c>
    </row>
    <row r="185" spans="1:24" ht="14.25" customHeight="1" thickBot="1">
      <c r="A185" s="1"/>
      <c r="B185" s="1"/>
      <c r="C185" s="1"/>
      <c r="D185" s="103" t="s">
        <v>136</v>
      </c>
      <c r="E185" s="1"/>
      <c r="F185" s="6" t="s">
        <v>137</v>
      </c>
      <c r="G185" s="1"/>
      <c r="H185" s="7" t="s">
        <v>25</v>
      </c>
      <c r="I185" s="1"/>
      <c r="J185" s="7">
        <v>30</v>
      </c>
      <c r="K185" s="1"/>
      <c r="L185" s="7">
        <v>32</v>
      </c>
      <c r="M185" s="1"/>
      <c r="N185" s="7">
        <v>162</v>
      </c>
      <c r="O185" s="1"/>
      <c r="P185" s="51">
        <v>25</v>
      </c>
      <c r="Q185" s="41">
        <f>(((P185)*(1+0.1)+(((L185)-(P185))/4))*1*5*1*1)</f>
        <v>146.25000000000003</v>
      </c>
      <c r="R185" s="322">
        <f>(Q185/Q$186)</f>
        <v>3.0122774248807535E-2</v>
      </c>
      <c r="S185" s="323"/>
      <c r="T185" s="323"/>
      <c r="U185" s="412"/>
      <c r="V185" s="70">
        <v>3</v>
      </c>
      <c r="W185" s="65"/>
      <c r="X185" s="71">
        <f>V185/Q214</f>
        <v>0.96</v>
      </c>
    </row>
    <row r="186" spans="1:24" ht="14.25" customHeight="1" thickBot="1">
      <c r="A186" s="1"/>
      <c r="B186" s="1"/>
      <c r="C186" s="1"/>
      <c r="D186" s="313" t="s">
        <v>178</v>
      </c>
      <c r="E186" s="314"/>
      <c r="F186" s="314"/>
      <c r="G186" s="314"/>
      <c r="H186" s="314"/>
      <c r="I186" s="314"/>
      <c r="J186" s="314"/>
      <c r="K186" s="314"/>
      <c r="L186" s="314"/>
      <c r="M186" s="314"/>
      <c r="N186" s="314"/>
      <c r="O186" s="314"/>
      <c r="P186" s="314"/>
      <c r="Q186" s="60">
        <f>SUM(Q154:Q185)</f>
        <v>4855.1304999999993</v>
      </c>
      <c r="R186" s="358">
        <f>SUM(R154:R158)+SUM(R160:R185)</f>
        <v>0.99999999999999978</v>
      </c>
      <c r="S186" s="359"/>
      <c r="T186" s="359"/>
      <c r="U186" s="422"/>
      <c r="V186" s="392"/>
      <c r="W186" s="393"/>
      <c r="X186" s="394"/>
    </row>
    <row r="187" spans="1:24" ht="14.25" customHeight="1" thickBot="1">
      <c r="A187" s="1"/>
      <c r="B187" s="1"/>
      <c r="C187" s="1"/>
      <c r="D187" s="301" t="s">
        <v>204</v>
      </c>
      <c r="E187" s="302"/>
      <c r="F187" s="302"/>
      <c r="G187" s="302"/>
      <c r="H187" s="302"/>
      <c r="I187" s="302"/>
      <c r="J187" s="302"/>
      <c r="K187" s="302"/>
      <c r="L187" s="302"/>
      <c r="M187" s="302"/>
      <c r="N187" s="302"/>
      <c r="O187" s="302"/>
      <c r="P187" s="302"/>
      <c r="Q187" s="60">
        <f>(Q186+Q208)</f>
        <v>5153.1304999999993</v>
      </c>
      <c r="R187" s="377">
        <f>((Q187+Q208)/TAEj!B20)</f>
        <v>0.49693996440947563</v>
      </c>
      <c r="S187" s="378"/>
      <c r="T187" s="378"/>
      <c r="U187" s="379"/>
      <c r="V187" s="401"/>
      <c r="W187" s="402"/>
      <c r="X187" s="403"/>
    </row>
    <row r="188" spans="1:24" ht="14.25" customHeight="1" thickBot="1">
      <c r="A188" s="1"/>
      <c r="B188" s="1"/>
      <c r="C188" s="1"/>
      <c r="D188" s="342" t="s">
        <v>205</v>
      </c>
      <c r="E188" s="343"/>
      <c r="F188" s="343"/>
      <c r="G188" s="343"/>
      <c r="H188" s="343"/>
      <c r="I188" s="343"/>
      <c r="J188" s="343"/>
      <c r="K188" s="343"/>
      <c r="L188" s="343"/>
      <c r="M188" s="343"/>
      <c r="N188" s="343"/>
      <c r="O188" s="343"/>
      <c r="P188" s="344"/>
      <c r="Q188" s="49">
        <f>SUM(X154:X185)/28</f>
        <v>1.005714285714286</v>
      </c>
      <c r="R188" s="309" t="s">
        <v>221</v>
      </c>
      <c r="S188" s="310"/>
      <c r="T188" s="310"/>
      <c r="U188" s="310"/>
      <c r="V188" s="162" t="s">
        <v>222</v>
      </c>
      <c r="W188" s="162" t="s">
        <v>223</v>
      </c>
      <c r="X188" s="163" t="s">
        <v>224</v>
      </c>
    </row>
    <row r="189" spans="1:24" ht="14.25" customHeight="1" thickBot="1">
      <c r="A189" s="1"/>
      <c r="B189" s="1"/>
      <c r="C189" s="1"/>
      <c r="D189" s="355" t="s">
        <v>246</v>
      </c>
      <c r="E189" s="356"/>
      <c r="F189" s="356"/>
      <c r="G189" s="356"/>
      <c r="H189" s="356"/>
      <c r="I189" s="356"/>
      <c r="J189" s="356"/>
      <c r="K189" s="356"/>
      <c r="L189" s="356"/>
      <c r="M189" s="356"/>
      <c r="N189" s="356"/>
      <c r="O189" s="356"/>
      <c r="P189" s="357"/>
      <c r="Q189" s="59">
        <f>Q187/SUM(R189:X189)</f>
        <v>9.3696688970508024</v>
      </c>
      <c r="R189" s="311">
        <f>(293)*1.7</f>
        <v>498.09999999999997</v>
      </c>
      <c r="S189" s="312"/>
      <c r="T189" s="312"/>
      <c r="U189" s="312"/>
      <c r="V189" s="164">
        <f>22*1</f>
        <v>22</v>
      </c>
      <c r="W189" s="164">
        <f>36*0.58</f>
        <v>20.88</v>
      </c>
      <c r="X189" s="79">
        <f>9*1</f>
        <v>9</v>
      </c>
    </row>
    <row r="190" spans="1:24" ht="14.25" customHeight="1" thickBot="1">
      <c r="A190" s="1"/>
      <c r="B190" s="1"/>
      <c r="C190" s="1"/>
      <c r="D190" s="372" t="s">
        <v>247</v>
      </c>
      <c r="E190" s="373"/>
      <c r="F190" s="373"/>
      <c r="G190" s="373"/>
      <c r="H190" s="373"/>
      <c r="I190" s="373"/>
      <c r="J190" s="373"/>
      <c r="K190" s="373"/>
      <c r="L190" s="373"/>
      <c r="M190" s="373"/>
      <c r="N190" s="373"/>
      <c r="O190" s="373"/>
      <c r="P190" s="374"/>
      <c r="Q190" s="59">
        <f>Q189/Q216</f>
        <v>0.6852591500224573</v>
      </c>
      <c r="R190" s="348"/>
      <c r="S190" s="349"/>
      <c r="T190" s="349"/>
      <c r="U190" s="349"/>
      <c r="V190" s="349"/>
      <c r="W190" s="349"/>
      <c r="X190" s="349"/>
    </row>
    <row r="191" spans="1:24" ht="14.25" customHeight="1" thickBot="1">
      <c r="A191" s="1"/>
      <c r="B191" s="1"/>
      <c r="C191" s="1"/>
      <c r="D191" s="345" t="s">
        <v>248</v>
      </c>
      <c r="E191" s="346"/>
      <c r="F191" s="346"/>
      <c r="G191" s="346"/>
      <c r="H191" s="346"/>
      <c r="I191" s="346"/>
      <c r="J191" s="346"/>
      <c r="K191" s="346"/>
      <c r="L191" s="346"/>
      <c r="M191" s="346"/>
      <c r="N191" s="346"/>
      <c r="O191" s="346"/>
      <c r="P191" s="347"/>
      <c r="Q191" s="170">
        <f>Q188+Q190+Q209</f>
        <v>2.6979178801811878</v>
      </c>
      <c r="R191" s="348"/>
      <c r="S191" s="349"/>
      <c r="T191" s="349"/>
      <c r="U191" s="349"/>
      <c r="V191" s="349"/>
      <c r="W191" s="349"/>
      <c r="X191" s="349"/>
    </row>
    <row r="192" spans="1:24" ht="14.25" customHeight="1" thickBot="1">
      <c r="A192" s="1"/>
      <c r="B192" s="1"/>
      <c r="C192" s="1"/>
      <c r="D192" s="316" t="s">
        <v>272</v>
      </c>
      <c r="E192" s="317"/>
      <c r="F192" s="317"/>
      <c r="G192" s="317"/>
      <c r="H192" s="317"/>
      <c r="I192" s="317"/>
      <c r="J192" s="317"/>
      <c r="K192" s="317"/>
      <c r="L192" s="317"/>
      <c r="M192" s="317"/>
      <c r="N192" s="317"/>
      <c r="O192" s="317"/>
      <c r="P192" s="318"/>
      <c r="Q192" s="173">
        <f>Q187/Q213</f>
        <v>0.46977346942388987</v>
      </c>
      <c r="R192" s="165"/>
      <c r="S192" s="165"/>
      <c r="T192" s="165"/>
      <c r="U192" s="165"/>
      <c r="V192" s="165"/>
      <c r="W192" s="165"/>
      <c r="X192" s="165"/>
    </row>
    <row r="193" spans="1:24" ht="14.25" customHeight="1" thickBot="1">
      <c r="A193" s="1"/>
      <c r="B193" s="1"/>
      <c r="C193" s="1"/>
      <c r="D193" s="303" t="s">
        <v>273</v>
      </c>
      <c r="E193" s="304"/>
      <c r="F193" s="304"/>
      <c r="G193" s="304"/>
      <c r="H193" s="304"/>
      <c r="I193" s="304"/>
      <c r="J193" s="304"/>
      <c r="K193" s="304"/>
      <c r="L193" s="304"/>
      <c r="M193" s="304"/>
      <c r="N193" s="304"/>
      <c r="O193" s="304"/>
      <c r="P193" s="305"/>
      <c r="Q193" s="173">
        <f>Q191/Q217</f>
        <v>0.14989014252000504</v>
      </c>
      <c r="R193" s="165"/>
      <c r="S193" s="165"/>
      <c r="T193" s="165"/>
      <c r="U193" s="165"/>
      <c r="V193" s="165"/>
      <c r="W193" s="165"/>
      <c r="X193" s="165"/>
    </row>
    <row r="194" spans="1:24" ht="14.25" customHeight="1" thickBot="1">
      <c r="A194" s="1"/>
      <c r="B194" s="1"/>
      <c r="C194" s="1"/>
      <c r="D194" s="298" t="s">
        <v>274</v>
      </c>
      <c r="E194" s="299"/>
      <c r="F194" s="299"/>
      <c r="G194" s="299"/>
      <c r="H194" s="299"/>
      <c r="I194" s="299"/>
      <c r="J194" s="299"/>
      <c r="K194" s="299"/>
      <c r="L194" s="299"/>
      <c r="M194" s="299"/>
      <c r="N194" s="299"/>
      <c r="O194" s="299"/>
      <c r="P194" s="300"/>
      <c r="Q194" s="174">
        <f>((Q192*0.8)+(Q193*0.2))</f>
        <v>0.40579680404311291</v>
      </c>
      <c r="R194" s="165"/>
      <c r="S194" s="165"/>
      <c r="T194" s="165"/>
      <c r="U194" s="165"/>
      <c r="V194" s="165"/>
      <c r="W194" s="165"/>
      <c r="X194" s="165"/>
    </row>
    <row r="195" spans="1:24" ht="12" customHeight="1">
      <c r="A195" s="1"/>
      <c r="B195" s="1"/>
      <c r="C195" s="1"/>
      <c r="D195" s="177"/>
      <c r="E195" s="177"/>
      <c r="F195" s="177"/>
      <c r="G195" s="177"/>
      <c r="H195" s="177"/>
      <c r="I195" s="177"/>
      <c r="J195" s="177"/>
      <c r="K195" s="177"/>
      <c r="L195" s="177"/>
      <c r="M195" s="177"/>
      <c r="N195" s="177"/>
      <c r="O195" s="177"/>
      <c r="P195" s="177"/>
      <c r="Q195" s="178"/>
      <c r="R195" s="165"/>
      <c r="S195" s="165"/>
      <c r="T195" s="165"/>
      <c r="U195" s="165"/>
      <c r="V195" s="165"/>
      <c r="W195" s="165"/>
      <c r="X195" s="165"/>
    </row>
    <row r="196" spans="1:24" ht="11.25" customHeight="1">
      <c r="A196" s="1"/>
      <c r="B196" s="1"/>
      <c r="C196" s="1"/>
      <c r="D196" s="319" t="s">
        <v>142</v>
      </c>
      <c r="E196" s="319"/>
      <c r="F196" s="319"/>
      <c r="G196" s="319"/>
      <c r="H196" s="319"/>
      <c r="I196" s="319"/>
      <c r="J196" s="319"/>
      <c r="K196" s="319"/>
      <c r="L196" s="319"/>
      <c r="M196" s="319"/>
      <c r="N196" s="319"/>
      <c r="O196" s="319"/>
      <c r="P196" s="319"/>
      <c r="Q196" s="319"/>
      <c r="R196" s="319"/>
      <c r="S196" s="319"/>
      <c r="T196" s="319"/>
      <c r="U196" s="1"/>
      <c r="V196" s="315"/>
      <c r="W196" s="315"/>
      <c r="X196" s="315"/>
    </row>
    <row r="197" spans="1:24" ht="12.75" customHeight="1" thickBo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315"/>
      <c r="W197" s="315"/>
      <c r="X197" s="315"/>
    </row>
    <row r="198" spans="1:24" ht="12.75" customHeight="1" thickBot="1">
      <c r="A198" s="1"/>
      <c r="B198" s="1"/>
      <c r="C198" s="1"/>
      <c r="D198" s="18" t="s">
        <v>5</v>
      </c>
      <c r="E198" s="19"/>
      <c r="F198" s="20" t="s">
        <v>6</v>
      </c>
      <c r="G198" s="19"/>
      <c r="H198" s="21" t="s">
        <v>7</v>
      </c>
      <c r="I198" s="19"/>
      <c r="J198" s="21" t="s">
        <v>8</v>
      </c>
      <c r="K198" s="19"/>
      <c r="L198" s="21" t="s">
        <v>9</v>
      </c>
      <c r="M198" s="19"/>
      <c r="N198" s="21" t="s">
        <v>10</v>
      </c>
      <c r="O198" s="19"/>
      <c r="P198" s="50" t="s">
        <v>11</v>
      </c>
      <c r="Q198" s="32" t="s">
        <v>173</v>
      </c>
      <c r="R198" s="420" t="s">
        <v>171</v>
      </c>
      <c r="S198" s="421"/>
      <c r="T198" s="421"/>
      <c r="U198" s="421"/>
      <c r="V198" s="106" t="s">
        <v>218</v>
      </c>
      <c r="W198" s="160" t="s">
        <v>216</v>
      </c>
      <c r="X198" s="217"/>
    </row>
    <row r="199" spans="1:24" ht="14.25" customHeight="1">
      <c r="A199" s="1"/>
      <c r="B199" s="1"/>
      <c r="C199" s="1"/>
      <c r="D199" s="23" t="s">
        <v>143</v>
      </c>
      <c r="E199" s="1"/>
      <c r="F199" s="6" t="s">
        <v>72</v>
      </c>
      <c r="G199" s="1"/>
      <c r="H199" s="7" t="s">
        <v>25</v>
      </c>
      <c r="I199" s="1"/>
      <c r="J199" s="7">
        <v>20</v>
      </c>
      <c r="K199" s="1"/>
      <c r="L199" s="7">
        <v>20</v>
      </c>
      <c r="M199" s="1"/>
      <c r="N199" s="7">
        <v>53</v>
      </c>
      <c r="O199" s="1"/>
      <c r="P199" s="51">
        <v>15</v>
      </c>
      <c r="Q199" s="36">
        <f>(((P199)*2*1))</f>
        <v>30</v>
      </c>
      <c r="R199" s="413">
        <f>(Q199/Q$208)</f>
        <v>0.10067114093959731</v>
      </c>
      <c r="S199" s="414"/>
      <c r="T199" s="414"/>
      <c r="U199" s="414"/>
      <c r="V199" s="70">
        <v>3</v>
      </c>
      <c r="W199" s="71">
        <f>V199/Q215</f>
        <v>0.9375</v>
      </c>
      <c r="X199" s="169"/>
    </row>
    <row r="200" spans="1:24" ht="12.75" customHeight="1">
      <c r="A200" s="1"/>
      <c r="B200" s="1"/>
      <c r="C200" s="1"/>
      <c r="D200" s="23" t="s">
        <v>144</v>
      </c>
      <c r="E200" s="1"/>
      <c r="F200" s="6" t="s">
        <v>145</v>
      </c>
      <c r="G200" s="1"/>
      <c r="H200" s="7" t="s">
        <v>25</v>
      </c>
      <c r="I200" s="1"/>
      <c r="J200" s="7">
        <v>0</v>
      </c>
      <c r="K200" s="1"/>
      <c r="L200" s="7">
        <v>17</v>
      </c>
      <c r="M200" s="1"/>
      <c r="N200" s="7">
        <v>43</v>
      </c>
      <c r="O200" s="1"/>
      <c r="P200" s="51">
        <v>15</v>
      </c>
      <c r="Q200" s="37">
        <f>(((P200)*2*2))</f>
        <v>60</v>
      </c>
      <c r="R200" s="389">
        <f t="shared" ref="R200:R207" si="3">(Q200/Q$208)</f>
        <v>0.20134228187919462</v>
      </c>
      <c r="S200" s="390"/>
      <c r="T200" s="390"/>
      <c r="U200" s="390"/>
      <c r="V200" s="70">
        <v>4</v>
      </c>
      <c r="W200" s="71">
        <f>V200/Q215</f>
        <v>1.25</v>
      </c>
      <c r="X200" s="169"/>
    </row>
    <row r="201" spans="1:24" ht="12.75" customHeight="1">
      <c r="A201" s="1"/>
      <c r="B201" s="1"/>
      <c r="C201" s="1"/>
      <c r="D201" s="23" t="s">
        <v>146</v>
      </c>
      <c r="E201" s="1"/>
      <c r="F201" s="14" t="s">
        <v>147</v>
      </c>
      <c r="G201" s="1"/>
      <c r="H201" s="7" t="s">
        <v>25</v>
      </c>
      <c r="I201" s="1"/>
      <c r="J201" s="7">
        <v>0</v>
      </c>
      <c r="K201" s="1"/>
      <c r="L201" s="7">
        <v>12</v>
      </c>
      <c r="M201" s="1"/>
      <c r="N201" s="7">
        <v>46</v>
      </c>
      <c r="O201" s="1"/>
      <c r="P201" s="51">
        <v>15</v>
      </c>
      <c r="Q201" s="37">
        <f t="shared" ref="Q201:Q207" si="4">(((P201)*2*1))</f>
        <v>30</v>
      </c>
      <c r="R201" s="389">
        <f t="shared" si="3"/>
        <v>0.10067114093959731</v>
      </c>
      <c r="S201" s="390"/>
      <c r="T201" s="390"/>
      <c r="U201" s="390"/>
      <c r="V201" s="70">
        <v>4</v>
      </c>
      <c r="W201" s="71">
        <f>V201/Q215</f>
        <v>1.25</v>
      </c>
      <c r="X201" s="169"/>
    </row>
    <row r="202" spans="1:24" ht="13.5" customHeight="1">
      <c r="A202" s="1"/>
      <c r="B202" s="1"/>
      <c r="C202" s="1"/>
      <c r="D202" s="23" t="s">
        <v>148</v>
      </c>
      <c r="E202" s="1"/>
      <c r="F202" s="6" t="s">
        <v>119</v>
      </c>
      <c r="G202" s="1"/>
      <c r="H202" s="7" t="s">
        <v>25</v>
      </c>
      <c r="I202" s="1"/>
      <c r="J202" s="7">
        <v>0</v>
      </c>
      <c r="K202" s="1"/>
      <c r="L202" s="7">
        <v>13</v>
      </c>
      <c r="M202" s="1"/>
      <c r="N202" s="7">
        <v>29</v>
      </c>
      <c r="O202" s="1"/>
      <c r="P202" s="51">
        <v>2</v>
      </c>
      <c r="Q202" s="37">
        <f t="shared" si="4"/>
        <v>4</v>
      </c>
      <c r="R202" s="389">
        <f t="shared" si="3"/>
        <v>1.3422818791946308E-2</v>
      </c>
      <c r="S202" s="390"/>
      <c r="T202" s="390"/>
      <c r="U202" s="390"/>
      <c r="V202" s="70">
        <v>3</v>
      </c>
      <c r="W202" s="71">
        <f>V202/Q215</f>
        <v>0.9375</v>
      </c>
      <c r="X202" s="169"/>
    </row>
    <row r="203" spans="1:24" ht="15.75" customHeight="1">
      <c r="A203" s="1"/>
      <c r="B203" s="1"/>
      <c r="C203" s="1"/>
      <c r="D203" s="23" t="s">
        <v>149</v>
      </c>
      <c r="E203" s="1"/>
      <c r="F203" s="6" t="s">
        <v>150</v>
      </c>
      <c r="G203" s="1"/>
      <c r="H203" s="7" t="s">
        <v>25</v>
      </c>
      <c r="I203" s="1"/>
      <c r="J203" s="7">
        <v>0</v>
      </c>
      <c r="K203" s="1"/>
      <c r="L203" s="7">
        <v>19</v>
      </c>
      <c r="M203" s="1"/>
      <c r="N203" s="7">
        <v>59</v>
      </c>
      <c r="O203" s="1"/>
      <c r="P203" s="51">
        <v>12</v>
      </c>
      <c r="Q203" s="37">
        <f>((N203)*1)</f>
        <v>59</v>
      </c>
      <c r="R203" s="389">
        <f t="shared" si="3"/>
        <v>0.19798657718120805</v>
      </c>
      <c r="S203" s="390"/>
      <c r="T203" s="390"/>
      <c r="U203" s="390"/>
      <c r="V203" s="70">
        <v>3</v>
      </c>
      <c r="W203" s="71">
        <f>V203/Q215</f>
        <v>0.9375</v>
      </c>
      <c r="X203" s="169"/>
    </row>
    <row r="204" spans="1:24" ht="21" customHeight="1">
      <c r="A204" s="1"/>
      <c r="B204" s="1"/>
      <c r="C204" s="1"/>
      <c r="D204" s="23" t="s">
        <v>151</v>
      </c>
      <c r="E204" s="1"/>
      <c r="F204" s="13" t="s">
        <v>152</v>
      </c>
      <c r="G204" s="1"/>
      <c r="H204" s="7" t="s">
        <v>25</v>
      </c>
      <c r="I204" s="1"/>
      <c r="J204" s="7">
        <v>0</v>
      </c>
      <c r="K204" s="1"/>
      <c r="L204" s="7">
        <v>10</v>
      </c>
      <c r="M204" s="1"/>
      <c r="N204" s="7">
        <v>23</v>
      </c>
      <c r="O204" s="1"/>
      <c r="P204" s="51">
        <v>0</v>
      </c>
      <c r="Q204" s="37">
        <f>((N204)*1)</f>
        <v>23</v>
      </c>
      <c r="R204" s="389">
        <f t="shared" si="3"/>
        <v>7.7181208053691275E-2</v>
      </c>
      <c r="S204" s="390"/>
      <c r="T204" s="390"/>
      <c r="U204" s="390"/>
      <c r="V204" s="70">
        <v>3</v>
      </c>
      <c r="W204" s="71">
        <f>V204/Q215</f>
        <v>0.9375</v>
      </c>
      <c r="X204" s="169"/>
    </row>
    <row r="205" spans="1:24" ht="12.75" customHeight="1">
      <c r="A205" s="1"/>
      <c r="B205" s="1"/>
      <c r="C205" s="1"/>
      <c r="D205" s="23" t="s">
        <v>153</v>
      </c>
      <c r="E205" s="1"/>
      <c r="F205" s="14" t="s">
        <v>154</v>
      </c>
      <c r="G205" s="1"/>
      <c r="H205" s="7" t="s">
        <v>25</v>
      </c>
      <c r="I205" s="1"/>
      <c r="J205" s="7">
        <v>0</v>
      </c>
      <c r="K205" s="1"/>
      <c r="L205" s="7">
        <v>23</v>
      </c>
      <c r="M205" s="1"/>
      <c r="N205" s="7">
        <v>23</v>
      </c>
      <c r="O205" s="1"/>
      <c r="P205" s="51">
        <v>0</v>
      </c>
      <c r="Q205" s="37">
        <f>((N205)*1)</f>
        <v>23</v>
      </c>
      <c r="R205" s="389">
        <f t="shared" si="3"/>
        <v>7.7181208053691275E-2</v>
      </c>
      <c r="S205" s="390"/>
      <c r="T205" s="390"/>
      <c r="U205" s="390"/>
      <c r="V205" s="70">
        <v>3</v>
      </c>
      <c r="W205" s="71">
        <f>V205/Q215</f>
        <v>0.9375</v>
      </c>
      <c r="X205" s="169"/>
    </row>
    <row r="206" spans="1:24" ht="14.25" customHeight="1">
      <c r="A206" s="1"/>
      <c r="B206" s="1"/>
      <c r="C206" s="1"/>
      <c r="D206" s="23" t="s">
        <v>155</v>
      </c>
      <c r="E206" s="1"/>
      <c r="F206" s="6" t="s">
        <v>156</v>
      </c>
      <c r="G206" s="1"/>
      <c r="H206" s="7" t="s">
        <v>25</v>
      </c>
      <c r="I206" s="1"/>
      <c r="J206" s="7">
        <v>0</v>
      </c>
      <c r="K206" s="1"/>
      <c r="L206" s="7">
        <v>18</v>
      </c>
      <c r="M206" s="1"/>
      <c r="N206" s="7">
        <v>47</v>
      </c>
      <c r="O206" s="1"/>
      <c r="P206" s="210">
        <v>13</v>
      </c>
      <c r="Q206" s="37">
        <f>((N206)*1)</f>
        <v>47</v>
      </c>
      <c r="R206" s="389">
        <f t="shared" si="3"/>
        <v>0.15771812080536912</v>
      </c>
      <c r="S206" s="390"/>
      <c r="T206" s="390"/>
      <c r="U206" s="390"/>
      <c r="V206" s="70">
        <v>3</v>
      </c>
      <c r="W206" s="71">
        <f>V206/Q215</f>
        <v>0.9375</v>
      </c>
      <c r="X206" s="169"/>
    </row>
    <row r="207" spans="1:24" ht="18.75" customHeight="1" thickBot="1">
      <c r="A207" s="1"/>
      <c r="B207" s="1"/>
      <c r="C207" s="1"/>
      <c r="D207" s="52" t="s">
        <v>157</v>
      </c>
      <c r="E207" s="53"/>
      <c r="F207" s="54" t="s">
        <v>158</v>
      </c>
      <c r="G207" s="53"/>
      <c r="H207" s="55" t="s">
        <v>25</v>
      </c>
      <c r="I207" s="53"/>
      <c r="J207" s="55">
        <v>0</v>
      </c>
      <c r="K207" s="53"/>
      <c r="L207" s="55">
        <v>10</v>
      </c>
      <c r="M207" s="53"/>
      <c r="N207" s="55">
        <v>45</v>
      </c>
      <c r="O207" s="53"/>
      <c r="P207" s="211">
        <v>11</v>
      </c>
      <c r="Q207" s="38">
        <f t="shared" si="4"/>
        <v>22</v>
      </c>
      <c r="R207" s="322">
        <f t="shared" si="3"/>
        <v>7.3825503355704702E-2</v>
      </c>
      <c r="S207" s="323"/>
      <c r="T207" s="323"/>
      <c r="U207" s="323"/>
      <c r="V207" s="74">
        <v>3</v>
      </c>
      <c r="W207" s="79">
        <f>V207/Q215</f>
        <v>0.9375</v>
      </c>
      <c r="X207" s="169"/>
    </row>
    <row r="208" spans="1:24" ht="15" customHeight="1" thickBot="1">
      <c r="A208" s="1"/>
      <c r="B208" s="1"/>
      <c r="C208" s="1"/>
      <c r="D208" s="313" t="s">
        <v>190</v>
      </c>
      <c r="E208" s="314"/>
      <c r="F208" s="314"/>
      <c r="G208" s="314"/>
      <c r="H208" s="314"/>
      <c r="I208" s="314"/>
      <c r="J208" s="314"/>
      <c r="K208" s="314"/>
      <c r="L208" s="314"/>
      <c r="M208" s="314"/>
      <c r="N208" s="314"/>
      <c r="O208" s="314"/>
      <c r="P208" s="314"/>
      <c r="Q208" s="60">
        <f>SUM(Q199:Q207)</f>
        <v>298</v>
      </c>
      <c r="R208" s="377">
        <f>((Q208)/TAEj!B20)</f>
        <v>2.7166494985585789E-2</v>
      </c>
      <c r="S208" s="378"/>
      <c r="T208" s="378"/>
      <c r="U208" s="378"/>
      <c r="V208" s="395"/>
      <c r="W208" s="397"/>
      <c r="X208" s="169"/>
    </row>
    <row r="209" spans="1:24" ht="14.25" customHeight="1" thickBot="1">
      <c r="A209" s="1"/>
      <c r="B209" s="1"/>
      <c r="C209" s="1"/>
      <c r="D209" s="313" t="s">
        <v>215</v>
      </c>
      <c r="E209" s="426"/>
      <c r="F209" s="426"/>
      <c r="G209" s="426"/>
      <c r="H209" s="426"/>
      <c r="I209" s="426"/>
      <c r="J209" s="426"/>
      <c r="K209" s="426"/>
      <c r="L209" s="426"/>
      <c r="M209" s="426"/>
      <c r="N209" s="426"/>
      <c r="O209" s="426"/>
      <c r="P209" s="427"/>
      <c r="Q209" s="417">
        <f>SUM(W199:W207)/9</f>
        <v>1.0069444444444444</v>
      </c>
      <c r="R209" s="418"/>
      <c r="S209" s="418"/>
      <c r="T209" s="418"/>
      <c r="U209" s="419"/>
      <c r="V209" s="401"/>
      <c r="W209" s="403"/>
      <c r="X209" s="169"/>
    </row>
    <row r="210" spans="1:24" ht="21" customHeight="1" thickBo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428"/>
      <c r="S210" s="428"/>
      <c r="T210" s="428"/>
      <c r="U210" s="428"/>
      <c r="V210" s="428"/>
      <c r="W210" s="428"/>
      <c r="X210" s="169"/>
    </row>
    <row r="211" spans="1:24" ht="14.25" customHeight="1" thickBot="1">
      <c r="A211" s="1"/>
      <c r="B211" s="1"/>
      <c r="C211" s="1"/>
      <c r="D211" s="423" t="s">
        <v>168</v>
      </c>
      <c r="E211" s="424"/>
      <c r="F211" s="424"/>
      <c r="G211" s="424"/>
      <c r="H211" s="424"/>
      <c r="I211" s="424"/>
      <c r="J211" s="424"/>
      <c r="K211" s="424"/>
      <c r="L211" s="424"/>
      <c r="M211" s="424"/>
      <c r="N211" s="424"/>
      <c r="O211" s="424"/>
      <c r="P211" s="425"/>
      <c r="Q211" s="59">
        <f>SUM(Q12:Q18,Q33:Q36,Q57:Q63,Q78:Q82,Q98:Q105,Q122:Q123,Q137,Q154:Q185)</f>
        <v>10655.394475000001</v>
      </c>
      <c r="R211" s="324"/>
      <c r="S211" s="324"/>
      <c r="T211" s="324"/>
      <c r="U211" s="324"/>
      <c r="V211" s="324"/>
      <c r="W211" s="324"/>
      <c r="X211" s="169"/>
    </row>
    <row r="212" spans="1:24" ht="14.25" customHeight="1" thickBot="1">
      <c r="A212" s="1"/>
      <c r="B212" s="1"/>
      <c r="C212" s="1"/>
      <c r="D212" s="295" t="s">
        <v>169</v>
      </c>
      <c r="E212" s="296"/>
      <c r="F212" s="296"/>
      <c r="G212" s="296"/>
      <c r="H212" s="296"/>
      <c r="I212" s="296"/>
      <c r="J212" s="296"/>
      <c r="K212" s="296"/>
      <c r="L212" s="296"/>
      <c r="M212" s="296"/>
      <c r="N212" s="296"/>
      <c r="O212" s="296"/>
      <c r="P212" s="297"/>
      <c r="Q212" s="170">
        <f>SUM(Q49,Q199,Q200,Q201,Q202,Q203,Q204,Q205,Q206,Q207)</f>
        <v>314</v>
      </c>
      <c r="R212" s="324"/>
      <c r="S212" s="324"/>
      <c r="T212" s="324"/>
      <c r="U212" s="324"/>
      <c r="V212" s="324"/>
      <c r="W212" s="324"/>
      <c r="X212" s="169"/>
    </row>
    <row r="213" spans="1:24" ht="14.25" customHeight="1" thickBot="1">
      <c r="A213" s="1"/>
      <c r="B213" s="1"/>
      <c r="C213" s="1"/>
      <c r="D213" s="298" t="s">
        <v>250</v>
      </c>
      <c r="E213" s="299"/>
      <c r="F213" s="299"/>
      <c r="G213" s="299"/>
      <c r="H213" s="299"/>
      <c r="I213" s="299"/>
      <c r="J213" s="299"/>
      <c r="K213" s="299"/>
      <c r="L213" s="299"/>
      <c r="M213" s="299"/>
      <c r="N213" s="299"/>
      <c r="O213" s="299"/>
      <c r="P213" s="300"/>
      <c r="Q213" s="215">
        <f>SUM(Q211:Q212)</f>
        <v>10969.394475000001</v>
      </c>
      <c r="R213" s="324"/>
      <c r="S213" s="324"/>
      <c r="T213" s="324"/>
      <c r="U213" s="324"/>
      <c r="V213" s="324"/>
      <c r="W213" s="324"/>
      <c r="X213" s="169"/>
    </row>
    <row r="214" spans="1:24" ht="14.25" customHeight="1" thickBot="1">
      <c r="A214" s="324"/>
      <c r="B214" s="324"/>
      <c r="C214" s="325"/>
      <c r="D214" s="295" t="s">
        <v>214</v>
      </c>
      <c r="E214" s="296"/>
      <c r="F214" s="296"/>
      <c r="G214" s="296"/>
      <c r="H214" s="296"/>
      <c r="I214" s="296"/>
      <c r="J214" s="296"/>
      <c r="K214" s="296"/>
      <c r="L214" s="296"/>
      <c r="M214" s="296"/>
      <c r="N214" s="296"/>
      <c r="O214" s="296"/>
      <c r="P214" s="297"/>
      <c r="Q214" s="59">
        <f>(V12+V14+V16+V18+V33+V34+V35+V36+V57+V58+V59+V60+V61+V62+V63+V78+V79+V80+V81+V82+V98+V99+V100+V102+V104+V122+V123+V137+V154+V155+V156+V157+V158+V160+V161+V162+V164+V165+V166+V167+V168+V171+V172+V173+V174+V175+V176+V177+V178+V179+V180+V182+V183+V184+V185)/56</f>
        <v>3.125</v>
      </c>
      <c r="R214" s="324"/>
      <c r="S214" s="324"/>
      <c r="T214" s="324"/>
      <c r="U214" s="324"/>
      <c r="V214" s="324"/>
      <c r="W214" s="324"/>
      <c r="X214" s="169"/>
    </row>
    <row r="215" spans="1:24" ht="14.25" customHeight="1" thickBot="1">
      <c r="A215" s="324"/>
      <c r="B215" s="324"/>
      <c r="C215" s="325"/>
      <c r="D215" s="298" t="s">
        <v>217</v>
      </c>
      <c r="E215" s="299"/>
      <c r="F215" s="299"/>
      <c r="G215" s="299"/>
      <c r="H215" s="299"/>
      <c r="I215" s="299"/>
      <c r="J215" s="299"/>
      <c r="K215" s="299"/>
      <c r="L215" s="299"/>
      <c r="M215" s="299"/>
      <c r="N215" s="299"/>
      <c r="O215" s="299"/>
      <c r="P215" s="300"/>
      <c r="Q215" s="179">
        <f>(SUM(V199:V207)+(V49))/10</f>
        <v>3.2</v>
      </c>
      <c r="R215" s="324"/>
      <c r="S215" s="324"/>
      <c r="T215" s="324"/>
      <c r="U215" s="324"/>
      <c r="V215" s="324"/>
      <c r="W215" s="324"/>
      <c r="X215" s="169"/>
    </row>
    <row r="216" spans="1:24" ht="14.25" customHeight="1" thickBot="1">
      <c r="A216" s="324"/>
      <c r="B216" s="324"/>
      <c r="C216" s="325"/>
      <c r="D216" s="292" t="s">
        <v>230</v>
      </c>
      <c r="E216" s="293"/>
      <c r="F216" s="293"/>
      <c r="G216" s="293"/>
      <c r="H216" s="293"/>
      <c r="I216" s="293"/>
      <c r="J216" s="293"/>
      <c r="K216" s="293"/>
      <c r="L216" s="293"/>
      <c r="M216" s="293"/>
      <c r="N216" s="293"/>
      <c r="O216" s="293"/>
      <c r="P216" s="294"/>
      <c r="Q216" s="216">
        <f>(Q22+Q40+Q67+Q86+Q109+Q127+Q141+Q189)/8</f>
        <v>13.67317590249432</v>
      </c>
      <c r="R216" s="324"/>
      <c r="S216" s="324"/>
      <c r="T216" s="324"/>
      <c r="U216" s="324"/>
      <c r="V216" s="324"/>
      <c r="W216" s="324"/>
      <c r="X216" s="169"/>
    </row>
    <row r="217" spans="1:24" ht="14.25" customHeight="1" thickBot="1">
      <c r="A217" s="324"/>
      <c r="B217" s="324"/>
      <c r="C217" s="325"/>
      <c r="D217" s="292" t="s">
        <v>249</v>
      </c>
      <c r="E217" s="293"/>
      <c r="F217" s="293"/>
      <c r="G217" s="293"/>
      <c r="H217" s="293"/>
      <c r="I217" s="293"/>
      <c r="J217" s="293"/>
      <c r="K217" s="293"/>
      <c r="L217" s="293"/>
      <c r="M217" s="293"/>
      <c r="N217" s="293"/>
      <c r="O217" s="293"/>
      <c r="P217" s="293"/>
      <c r="Q217" s="216">
        <f>(Q24+Q42+Q69+Q88+Q111+Q129+Q143+Q191)</f>
        <v>17.999301587301588</v>
      </c>
      <c r="R217" s="324"/>
      <c r="S217" s="324"/>
      <c r="T217" s="324"/>
      <c r="U217" s="324"/>
      <c r="V217" s="324"/>
      <c r="W217" s="324"/>
      <c r="X217" s="169"/>
    </row>
    <row r="218" spans="1:24">
      <c r="A218" s="167"/>
      <c r="B218" s="167"/>
      <c r="C218" s="167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8"/>
      <c r="X218" s="169"/>
    </row>
    <row r="219" spans="1:24" ht="13.5" thickBot="1">
      <c r="A219" s="167"/>
      <c r="B219" s="167"/>
      <c r="C219" s="167"/>
      <c r="D219" s="167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8"/>
      <c r="X219" s="169"/>
    </row>
    <row r="220" spans="1:24" ht="13.5" thickBot="1">
      <c r="A220" s="167"/>
      <c r="B220" s="167"/>
      <c r="C220" s="167"/>
      <c r="D220" s="288" t="s">
        <v>179</v>
      </c>
      <c r="E220" s="289"/>
      <c r="F220" s="290"/>
      <c r="G220" s="290"/>
      <c r="H220" s="290"/>
      <c r="I220" s="290"/>
      <c r="J220" s="290"/>
      <c r="K220" s="290"/>
      <c r="L220" s="290"/>
      <c r="M220" s="290"/>
      <c r="N220" s="290"/>
      <c r="O220" s="290"/>
      <c r="P220" s="291"/>
      <c r="Q220" s="167"/>
      <c r="R220" s="167"/>
      <c r="S220" s="167"/>
      <c r="T220" s="167"/>
      <c r="U220" s="167"/>
      <c r="V220" s="167"/>
      <c r="W220" s="168"/>
      <c r="X220" s="169"/>
    </row>
    <row r="221" spans="1:24" ht="13.5" thickBot="1">
      <c r="A221" s="167"/>
      <c r="B221" s="167"/>
      <c r="C221" s="167"/>
      <c r="D221" s="180" t="s">
        <v>275</v>
      </c>
      <c r="E221" s="181"/>
      <c r="F221" s="285" t="s">
        <v>286</v>
      </c>
      <c r="G221" s="285"/>
      <c r="H221" s="285"/>
      <c r="I221" s="285"/>
      <c r="J221" s="285"/>
      <c r="K221" s="285"/>
      <c r="L221" s="285"/>
      <c r="M221" s="285"/>
      <c r="N221" s="285"/>
      <c r="O221" s="285"/>
      <c r="P221" s="286"/>
      <c r="Q221" s="167"/>
      <c r="R221" s="167"/>
      <c r="S221" s="167"/>
      <c r="T221" s="167"/>
      <c r="U221" s="167"/>
      <c r="V221" s="167"/>
      <c r="W221" s="168"/>
      <c r="X221" s="169"/>
    </row>
    <row r="222" spans="1:24" ht="13.5" thickBot="1">
      <c r="A222" s="167"/>
      <c r="B222" s="167"/>
      <c r="C222" s="167"/>
      <c r="D222" s="180" t="s">
        <v>174</v>
      </c>
      <c r="E222" s="181"/>
      <c r="F222" s="285" t="s">
        <v>287</v>
      </c>
      <c r="G222" s="285"/>
      <c r="H222" s="285"/>
      <c r="I222" s="285"/>
      <c r="J222" s="285"/>
      <c r="K222" s="285"/>
      <c r="L222" s="285"/>
      <c r="M222" s="285"/>
      <c r="N222" s="285"/>
      <c r="O222" s="285"/>
      <c r="P222" s="286"/>
      <c r="Q222" s="167"/>
      <c r="R222" s="167"/>
      <c r="S222" s="167"/>
      <c r="T222" s="167"/>
      <c r="U222" s="167"/>
      <c r="V222" s="167"/>
      <c r="W222" s="168"/>
      <c r="X222" s="169"/>
    </row>
    <row r="223" spans="1:24" ht="13.5" thickBot="1">
      <c r="A223" s="167"/>
      <c r="B223" s="167"/>
      <c r="C223" s="167"/>
      <c r="D223" s="182" t="s">
        <v>172</v>
      </c>
      <c r="E223" s="183"/>
      <c r="F223" s="285" t="s">
        <v>288</v>
      </c>
      <c r="G223" s="285"/>
      <c r="H223" s="285"/>
      <c r="I223" s="285"/>
      <c r="J223" s="285"/>
      <c r="K223" s="285"/>
      <c r="L223" s="285"/>
      <c r="M223" s="285"/>
      <c r="N223" s="285"/>
      <c r="O223" s="285"/>
      <c r="P223" s="286"/>
      <c r="Q223" s="167"/>
      <c r="R223" s="167"/>
      <c r="S223" s="167"/>
      <c r="T223" s="167"/>
      <c r="U223" s="167"/>
      <c r="V223" s="167"/>
      <c r="W223" s="168"/>
      <c r="X223" s="169"/>
    </row>
    <row r="224" spans="1:24" ht="13.5" thickBot="1">
      <c r="A224" s="167"/>
      <c r="B224" s="167"/>
      <c r="C224" s="167"/>
      <c r="D224" s="184" t="s">
        <v>276</v>
      </c>
      <c r="E224" s="185"/>
      <c r="F224" s="285" t="s">
        <v>289</v>
      </c>
      <c r="G224" s="285"/>
      <c r="H224" s="285"/>
      <c r="I224" s="285"/>
      <c r="J224" s="285"/>
      <c r="K224" s="285"/>
      <c r="L224" s="285"/>
      <c r="M224" s="285"/>
      <c r="N224" s="285"/>
      <c r="O224" s="285"/>
      <c r="P224" s="286"/>
      <c r="Q224" s="167"/>
      <c r="R224" s="167"/>
      <c r="S224" s="167"/>
      <c r="T224" s="167"/>
      <c r="U224" s="167"/>
      <c r="V224" s="167"/>
      <c r="W224" s="168"/>
      <c r="X224" s="169"/>
    </row>
    <row r="225" spans="1:24" ht="13.5" thickBot="1">
      <c r="A225" s="167"/>
      <c r="B225" s="167"/>
      <c r="C225" s="167"/>
      <c r="D225" s="180" t="s">
        <v>283</v>
      </c>
      <c r="E225" s="186"/>
      <c r="F225" s="285" t="s">
        <v>290</v>
      </c>
      <c r="G225" s="285"/>
      <c r="H225" s="285"/>
      <c r="I225" s="285"/>
      <c r="J225" s="285"/>
      <c r="K225" s="285"/>
      <c r="L225" s="285"/>
      <c r="M225" s="285"/>
      <c r="N225" s="285"/>
      <c r="O225" s="285"/>
      <c r="P225" s="286"/>
      <c r="Q225" s="167"/>
      <c r="R225" s="167"/>
      <c r="S225" s="167"/>
      <c r="T225" s="167"/>
      <c r="U225" s="167"/>
      <c r="V225" s="167"/>
      <c r="W225" s="168"/>
      <c r="X225" s="169"/>
    </row>
    <row r="226" spans="1:24" ht="13.5" thickBot="1">
      <c r="A226" s="167"/>
      <c r="B226" s="167"/>
      <c r="C226" s="167"/>
      <c r="D226" s="187" t="s">
        <v>277</v>
      </c>
      <c r="E226" s="188"/>
      <c r="F226" s="285" t="s">
        <v>291</v>
      </c>
      <c r="G226" s="285"/>
      <c r="H226" s="285"/>
      <c r="I226" s="285"/>
      <c r="J226" s="285"/>
      <c r="K226" s="285"/>
      <c r="L226" s="285"/>
      <c r="M226" s="285"/>
      <c r="N226" s="285"/>
      <c r="O226" s="285"/>
      <c r="P226" s="286"/>
      <c r="Q226" s="167"/>
      <c r="R226" s="167"/>
      <c r="S226" s="167"/>
      <c r="T226" s="167"/>
      <c r="U226" s="167"/>
      <c r="V226" s="167"/>
      <c r="W226" s="168"/>
      <c r="X226" s="169"/>
    </row>
    <row r="227" spans="1:24" ht="13.5" thickBot="1">
      <c r="A227" s="167"/>
      <c r="B227" s="167"/>
      <c r="C227" s="167"/>
      <c r="D227" s="189" t="s">
        <v>278</v>
      </c>
      <c r="E227" s="190"/>
      <c r="F227" s="285" t="s">
        <v>292</v>
      </c>
      <c r="G227" s="285"/>
      <c r="H227" s="285"/>
      <c r="I227" s="285"/>
      <c r="J227" s="285"/>
      <c r="K227" s="285"/>
      <c r="L227" s="285"/>
      <c r="M227" s="285"/>
      <c r="N227" s="285"/>
      <c r="O227" s="285"/>
      <c r="P227" s="286"/>
      <c r="Q227" s="167"/>
      <c r="R227" s="167"/>
      <c r="S227" s="167"/>
      <c r="T227" s="167"/>
      <c r="U227" s="167"/>
      <c r="V227" s="167"/>
      <c r="W227" s="168"/>
      <c r="X227" s="169"/>
    </row>
    <row r="228" spans="1:24" ht="13.5" thickBot="1">
      <c r="A228" s="167"/>
      <c r="B228" s="167"/>
      <c r="C228" s="167"/>
      <c r="D228" s="191" t="s">
        <v>279</v>
      </c>
      <c r="E228" s="192"/>
      <c r="F228" s="285" t="s">
        <v>294</v>
      </c>
      <c r="G228" s="285"/>
      <c r="H228" s="285"/>
      <c r="I228" s="285"/>
      <c r="J228" s="285"/>
      <c r="K228" s="285"/>
      <c r="L228" s="285"/>
      <c r="M228" s="285"/>
      <c r="N228" s="285"/>
      <c r="O228" s="285"/>
      <c r="P228" s="286"/>
      <c r="Q228" s="167"/>
      <c r="R228" s="167"/>
      <c r="S228" s="167"/>
      <c r="T228" s="167"/>
      <c r="U228" s="167"/>
      <c r="V228" s="167"/>
      <c r="W228" s="168"/>
      <c r="X228" s="169"/>
    </row>
    <row r="229" spans="1:24" ht="13.5" thickBot="1">
      <c r="A229" s="167"/>
      <c r="B229" s="167"/>
      <c r="C229" s="167"/>
      <c r="D229" s="193" t="s">
        <v>280</v>
      </c>
      <c r="E229" s="194"/>
      <c r="F229" s="285" t="s">
        <v>293</v>
      </c>
      <c r="G229" s="285"/>
      <c r="H229" s="285"/>
      <c r="I229" s="285"/>
      <c r="J229" s="285"/>
      <c r="K229" s="285"/>
      <c r="L229" s="285"/>
      <c r="M229" s="285"/>
      <c r="N229" s="285"/>
      <c r="O229" s="285"/>
      <c r="P229" s="286"/>
      <c r="Q229" s="167"/>
      <c r="R229" s="167"/>
      <c r="S229" s="167"/>
      <c r="T229" s="167"/>
      <c r="U229" s="167"/>
      <c r="V229" s="167"/>
      <c r="W229" s="168"/>
      <c r="X229" s="169"/>
    </row>
    <row r="230" spans="1:24" ht="13.5" thickBot="1">
      <c r="A230" s="167"/>
      <c r="B230" s="167"/>
      <c r="C230" s="167"/>
      <c r="D230" s="195" t="s">
        <v>281</v>
      </c>
      <c r="E230" s="196"/>
      <c r="F230" s="282" t="s">
        <v>295</v>
      </c>
      <c r="G230" s="283"/>
      <c r="H230" s="283"/>
      <c r="I230" s="283"/>
      <c r="J230" s="283"/>
      <c r="K230" s="283"/>
      <c r="L230" s="283"/>
      <c r="M230" s="283"/>
      <c r="N230" s="283"/>
      <c r="O230" s="283"/>
      <c r="P230" s="284"/>
      <c r="Q230" s="167"/>
      <c r="R230" s="167"/>
      <c r="S230" s="167"/>
      <c r="T230" s="167"/>
      <c r="U230" s="167"/>
      <c r="V230" s="167"/>
      <c r="W230" s="168"/>
      <c r="X230" s="169"/>
    </row>
    <row r="231" spans="1:24" ht="13.5" thickBot="1">
      <c r="A231" s="167"/>
      <c r="B231" s="167"/>
      <c r="C231" s="167"/>
      <c r="D231" s="197" t="s">
        <v>282</v>
      </c>
      <c r="E231" s="198"/>
      <c r="F231" s="282" t="s">
        <v>296</v>
      </c>
      <c r="G231" s="283"/>
      <c r="H231" s="283"/>
      <c r="I231" s="283"/>
      <c r="J231" s="283"/>
      <c r="K231" s="283"/>
      <c r="L231" s="283"/>
      <c r="M231" s="283"/>
      <c r="N231" s="283"/>
      <c r="O231" s="283"/>
      <c r="P231" s="284"/>
      <c r="Q231" s="167"/>
      <c r="R231" s="167"/>
      <c r="S231" s="167"/>
      <c r="T231" s="167"/>
      <c r="U231" s="167"/>
      <c r="V231" s="167"/>
      <c r="W231" s="168"/>
      <c r="X231" s="169"/>
    </row>
    <row r="232" spans="1:24" ht="14.25" customHeight="1" thickBot="1">
      <c r="A232" s="167"/>
      <c r="B232" s="167"/>
      <c r="C232" s="167"/>
      <c r="D232" s="199" t="s">
        <v>304</v>
      </c>
      <c r="E232" s="200"/>
      <c r="F232" s="282" t="s">
        <v>305</v>
      </c>
      <c r="G232" s="283"/>
      <c r="H232" s="283"/>
      <c r="I232" s="283"/>
      <c r="J232" s="283"/>
      <c r="K232" s="283"/>
      <c r="L232" s="283"/>
      <c r="M232" s="283"/>
      <c r="N232" s="283"/>
      <c r="O232" s="283"/>
      <c r="P232" s="284"/>
      <c r="Q232" s="167"/>
      <c r="R232" s="167"/>
      <c r="S232" s="167"/>
      <c r="T232" s="167"/>
      <c r="U232" s="167"/>
      <c r="V232" s="167"/>
      <c r="W232" s="168"/>
      <c r="X232" s="169"/>
    </row>
    <row r="233" spans="1:24" ht="14.25" customHeight="1" thickBot="1">
      <c r="A233" s="167"/>
      <c r="B233" s="167"/>
      <c r="C233" s="167"/>
      <c r="D233" s="197" t="s">
        <v>308</v>
      </c>
      <c r="E233" s="198"/>
      <c r="F233" s="282" t="s">
        <v>306</v>
      </c>
      <c r="G233" s="283"/>
      <c r="H233" s="283"/>
      <c r="I233" s="283"/>
      <c r="J233" s="283"/>
      <c r="K233" s="283"/>
      <c r="L233" s="283"/>
      <c r="M233" s="283"/>
      <c r="N233" s="283"/>
      <c r="O233" s="283"/>
      <c r="P233" s="284"/>
      <c r="Q233" s="167"/>
      <c r="R233" s="167"/>
      <c r="S233" s="167"/>
      <c r="T233" s="167"/>
      <c r="U233" s="167"/>
      <c r="V233" s="167"/>
      <c r="W233" s="168"/>
      <c r="X233" s="169"/>
    </row>
    <row r="234" spans="1:24" ht="14.25" customHeight="1" thickBot="1">
      <c r="A234" s="167"/>
      <c r="B234" s="167"/>
      <c r="C234" s="167"/>
      <c r="D234" s="199" t="s">
        <v>307</v>
      </c>
      <c r="E234" s="200"/>
      <c r="F234" s="282" t="s">
        <v>311</v>
      </c>
      <c r="G234" s="283"/>
      <c r="H234" s="283"/>
      <c r="I234" s="283"/>
      <c r="J234" s="283"/>
      <c r="K234" s="283"/>
      <c r="L234" s="283"/>
      <c r="M234" s="283"/>
      <c r="N234" s="283"/>
      <c r="O234" s="283"/>
      <c r="P234" s="284"/>
      <c r="Q234" s="167"/>
      <c r="R234" s="167"/>
      <c r="S234" s="167"/>
      <c r="T234" s="167"/>
      <c r="U234" s="167"/>
      <c r="V234" s="167"/>
      <c r="W234" s="168"/>
      <c r="X234" s="169"/>
    </row>
    <row r="235" spans="1:24" ht="14.25" customHeight="1" thickBot="1">
      <c r="A235" s="167"/>
      <c r="B235" s="167"/>
      <c r="C235" s="167"/>
      <c r="D235" s="197" t="s">
        <v>309</v>
      </c>
      <c r="E235" s="198"/>
      <c r="F235" s="282" t="s">
        <v>310</v>
      </c>
      <c r="G235" s="283"/>
      <c r="H235" s="283"/>
      <c r="I235" s="283"/>
      <c r="J235" s="283"/>
      <c r="K235" s="283"/>
      <c r="L235" s="283"/>
      <c r="M235" s="283"/>
      <c r="N235" s="283"/>
      <c r="O235" s="283"/>
      <c r="P235" s="284"/>
      <c r="Q235" s="167"/>
      <c r="R235" s="167"/>
      <c r="S235" s="167"/>
      <c r="T235" s="167"/>
      <c r="U235" s="167"/>
      <c r="V235" s="167"/>
      <c r="W235" s="168"/>
      <c r="X235" s="169"/>
    </row>
    <row r="236" spans="1:24" ht="13.5" thickBot="1">
      <c r="A236" s="167"/>
      <c r="B236" s="167"/>
      <c r="C236" s="167"/>
      <c r="D236" s="213" t="s">
        <v>284</v>
      </c>
      <c r="E236" s="214"/>
      <c r="F236" s="285" t="s">
        <v>297</v>
      </c>
      <c r="G236" s="285"/>
      <c r="H236" s="285"/>
      <c r="I236" s="285"/>
      <c r="J236" s="285"/>
      <c r="K236" s="285"/>
      <c r="L236" s="285"/>
      <c r="M236" s="285"/>
      <c r="N236" s="285"/>
      <c r="O236" s="285"/>
      <c r="P236" s="286"/>
      <c r="Q236" s="167"/>
      <c r="R236" s="167"/>
      <c r="S236" s="167"/>
      <c r="T236" s="167"/>
      <c r="U236" s="167"/>
      <c r="V236" s="167"/>
      <c r="W236" s="168"/>
      <c r="X236" s="169"/>
    </row>
    <row r="237" spans="1:24" ht="13.5" customHeight="1" thickBot="1">
      <c r="A237" s="167"/>
      <c r="B237" s="167"/>
      <c r="C237" s="167"/>
      <c r="D237" s="197" t="s">
        <v>285</v>
      </c>
      <c r="E237" s="198"/>
      <c r="F237" s="285" t="s">
        <v>298</v>
      </c>
      <c r="G237" s="285"/>
      <c r="H237" s="285"/>
      <c r="I237" s="285"/>
      <c r="J237" s="285"/>
      <c r="K237" s="285"/>
      <c r="L237" s="285"/>
      <c r="M237" s="285"/>
      <c r="N237" s="285"/>
      <c r="O237" s="285"/>
      <c r="P237" s="286"/>
      <c r="Q237" s="167"/>
      <c r="R237" s="167"/>
      <c r="S237" s="167"/>
      <c r="T237" s="167"/>
      <c r="U237" s="167"/>
      <c r="V237" s="167"/>
      <c r="W237" s="168"/>
      <c r="X237" s="169"/>
    </row>
    <row r="238" spans="1:24" ht="13.5" customHeight="1" thickBot="1">
      <c r="A238" s="167"/>
      <c r="B238" s="167"/>
      <c r="C238" s="167"/>
      <c r="D238" s="199" t="s">
        <v>250</v>
      </c>
      <c r="E238" s="200"/>
      <c r="F238" s="285" t="s">
        <v>299</v>
      </c>
      <c r="G238" s="285"/>
      <c r="H238" s="285"/>
      <c r="I238" s="285"/>
      <c r="J238" s="285"/>
      <c r="K238" s="285"/>
      <c r="L238" s="285"/>
      <c r="M238" s="285"/>
      <c r="N238" s="285"/>
      <c r="O238" s="285"/>
      <c r="P238" s="286"/>
      <c r="Q238" s="167"/>
      <c r="R238" s="167"/>
      <c r="S238" s="167"/>
      <c r="T238" s="167"/>
      <c r="U238" s="167"/>
      <c r="V238" s="167"/>
      <c r="W238" s="168"/>
      <c r="X238" s="169"/>
    </row>
    <row r="239" spans="1:24" ht="13.5" customHeight="1" thickBot="1">
      <c r="A239" s="167"/>
      <c r="B239" s="167"/>
      <c r="C239" s="167"/>
      <c r="D239" s="197" t="s">
        <v>214</v>
      </c>
      <c r="E239" s="198"/>
      <c r="F239" s="285" t="s">
        <v>300</v>
      </c>
      <c r="G239" s="285"/>
      <c r="H239" s="285"/>
      <c r="I239" s="285"/>
      <c r="J239" s="285"/>
      <c r="K239" s="285"/>
      <c r="L239" s="285"/>
      <c r="M239" s="285"/>
      <c r="N239" s="285"/>
      <c r="O239" s="285"/>
      <c r="P239" s="286"/>
      <c r="Q239" s="167"/>
      <c r="R239" s="167"/>
      <c r="S239" s="167"/>
      <c r="T239" s="167"/>
      <c r="U239" s="167"/>
      <c r="V239" s="167"/>
      <c r="W239" s="168"/>
      <c r="X239" s="169"/>
    </row>
    <row r="240" spans="1:24" ht="13.5" customHeight="1" thickBot="1">
      <c r="A240" s="167"/>
      <c r="B240" s="167"/>
      <c r="C240" s="167"/>
      <c r="D240" s="199" t="s">
        <v>217</v>
      </c>
      <c r="E240" s="200"/>
      <c r="F240" s="285" t="s">
        <v>301</v>
      </c>
      <c r="G240" s="285"/>
      <c r="H240" s="285"/>
      <c r="I240" s="285"/>
      <c r="J240" s="285"/>
      <c r="K240" s="285"/>
      <c r="L240" s="285"/>
      <c r="M240" s="285"/>
      <c r="N240" s="285"/>
      <c r="O240" s="285"/>
      <c r="P240" s="286"/>
      <c r="Q240" s="167"/>
      <c r="R240" s="167"/>
      <c r="S240" s="167"/>
      <c r="T240" s="167"/>
      <c r="U240" s="167"/>
      <c r="V240" s="167"/>
      <c r="W240" s="168"/>
      <c r="X240" s="169"/>
    </row>
    <row r="241" spans="1:24" ht="13.5" thickBot="1">
      <c r="A241" s="167"/>
      <c r="B241" s="167"/>
      <c r="C241" s="167"/>
      <c r="D241" s="212" t="s">
        <v>230</v>
      </c>
      <c r="E241" s="203"/>
      <c r="F241" s="285" t="s">
        <v>302</v>
      </c>
      <c r="G241" s="285"/>
      <c r="H241" s="285"/>
      <c r="I241" s="285"/>
      <c r="J241" s="285"/>
      <c r="K241" s="285"/>
      <c r="L241" s="285"/>
      <c r="M241" s="285"/>
      <c r="N241" s="285"/>
      <c r="O241" s="285"/>
      <c r="P241" s="286"/>
      <c r="Q241" s="167"/>
      <c r="R241" s="167"/>
      <c r="S241" s="167"/>
      <c r="T241" s="167"/>
      <c r="U241" s="167"/>
      <c r="V241" s="167"/>
      <c r="W241" s="168"/>
      <c r="X241" s="169"/>
    </row>
    <row r="242" spans="1:24" ht="13.5" thickBot="1">
      <c r="A242" s="167"/>
      <c r="B242" s="167"/>
      <c r="C242" s="167"/>
      <c r="D242" s="201" t="s">
        <v>249</v>
      </c>
      <c r="E242" s="202"/>
      <c r="F242" s="280" t="s">
        <v>303</v>
      </c>
      <c r="G242" s="280"/>
      <c r="H242" s="280"/>
      <c r="I242" s="280"/>
      <c r="J242" s="280"/>
      <c r="K242" s="280"/>
      <c r="L242" s="280"/>
      <c r="M242" s="280"/>
      <c r="N242" s="280"/>
      <c r="O242" s="280"/>
      <c r="P242" s="281"/>
      <c r="Q242" s="167"/>
      <c r="R242" s="167"/>
      <c r="S242" s="167"/>
      <c r="T242" s="167"/>
      <c r="U242" s="167"/>
      <c r="V242" s="167"/>
      <c r="W242" s="168"/>
      <c r="X242" s="169"/>
    </row>
    <row r="243" spans="1:24">
      <c r="A243" s="167"/>
      <c r="B243" s="167"/>
      <c r="C243" s="167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8"/>
      <c r="X243" s="169"/>
    </row>
  </sheetData>
  <mergeCells count="295">
    <mergeCell ref="V133:X135"/>
    <mergeCell ref="D189:P189"/>
    <mergeCell ref="D190:P190"/>
    <mergeCell ref="D191:P191"/>
    <mergeCell ref="R190:X191"/>
    <mergeCell ref="D142:P142"/>
    <mergeCell ref="D143:P143"/>
    <mergeCell ref="R140:U140"/>
    <mergeCell ref="D188:P188"/>
    <mergeCell ref="R187:U187"/>
    <mergeCell ref="V186:X187"/>
    <mergeCell ref="R141:U141"/>
    <mergeCell ref="D169:F169"/>
    <mergeCell ref="D181:F181"/>
    <mergeCell ref="D153:F153"/>
    <mergeCell ref="R184:U184"/>
    <mergeCell ref="R179:U179"/>
    <mergeCell ref="R178:U178"/>
    <mergeCell ref="V148:X151"/>
    <mergeCell ref="R177:U177"/>
    <mergeCell ref="Q16:Q17"/>
    <mergeCell ref="R21:U21"/>
    <mergeCell ref="R16:U17"/>
    <mergeCell ref="R97:U97"/>
    <mergeCell ref="R82:U82"/>
    <mergeCell ref="R22:U22"/>
    <mergeCell ref="R83:U83"/>
    <mergeCell ref="R122:U122"/>
    <mergeCell ref="R126:U126"/>
    <mergeCell ref="R67:U67"/>
    <mergeCell ref="R68:X69"/>
    <mergeCell ref="V92:X96"/>
    <mergeCell ref="W104:W105"/>
    <mergeCell ref="W102:W103"/>
    <mergeCell ref="R106:U106"/>
    <mergeCell ref="R107:U107"/>
    <mergeCell ref="R121:U121"/>
    <mergeCell ref="R18:U18"/>
    <mergeCell ref="X102:X103"/>
    <mergeCell ref="X104:X105"/>
    <mergeCell ref="W100:W101"/>
    <mergeCell ref="R87:X88"/>
    <mergeCell ref="V50:X51"/>
    <mergeCell ref="V64:X65"/>
    <mergeCell ref="R99:U99"/>
    <mergeCell ref="V83:X84"/>
    <mergeCell ref="R98:U98"/>
    <mergeCell ref="R63:U63"/>
    <mergeCell ref="R59:U59"/>
    <mergeCell ref="R60:U60"/>
    <mergeCell ref="C93:R93"/>
    <mergeCell ref="D95:T95"/>
    <mergeCell ref="D88:P88"/>
    <mergeCell ref="D89:P89"/>
    <mergeCell ref="D90:P90"/>
    <mergeCell ref="D91:P91"/>
    <mergeCell ref="D66:P66"/>
    <mergeCell ref="V73:X76"/>
    <mergeCell ref="Q100:Q101"/>
    <mergeCell ref="D67:P67"/>
    <mergeCell ref="D85:P85"/>
    <mergeCell ref="X12:X13"/>
    <mergeCell ref="X14:X15"/>
    <mergeCell ref="X16:X17"/>
    <mergeCell ref="V25:X31"/>
    <mergeCell ref="W12:W13"/>
    <mergeCell ref="W14:W15"/>
    <mergeCell ref="W16:W17"/>
    <mergeCell ref="V16:V17"/>
    <mergeCell ref="V14:V15"/>
    <mergeCell ref="V12:V13"/>
    <mergeCell ref="D211:P211"/>
    <mergeCell ref="R208:U208"/>
    <mergeCell ref="R207:U207"/>
    <mergeCell ref="R206:U206"/>
    <mergeCell ref="R205:U205"/>
    <mergeCell ref="D208:P208"/>
    <mergeCell ref="D209:P209"/>
    <mergeCell ref="R210:W217"/>
    <mergeCell ref="V208:W209"/>
    <mergeCell ref="R185:U185"/>
    <mergeCell ref="R166:U166"/>
    <mergeCell ref="R174:U174"/>
    <mergeCell ref="R182:U182"/>
    <mergeCell ref="R183:U183"/>
    <mergeCell ref="R171:U171"/>
    <mergeCell ref="R173:U173"/>
    <mergeCell ref="R176:U176"/>
    <mergeCell ref="Q209:U209"/>
    <mergeCell ref="D196:T196"/>
    <mergeCell ref="R198:U198"/>
    <mergeCell ref="R189:U189"/>
    <mergeCell ref="D186:P186"/>
    <mergeCell ref="R186:U186"/>
    <mergeCell ref="R180:U180"/>
    <mergeCell ref="D187:P187"/>
    <mergeCell ref="R188:U188"/>
    <mergeCell ref="R203:U203"/>
    <mergeCell ref="R204:U204"/>
    <mergeCell ref="R199:U199"/>
    <mergeCell ref="R200:U200"/>
    <mergeCell ref="R201:U201"/>
    <mergeCell ref="R202:U202"/>
    <mergeCell ref="R172:U172"/>
    <mergeCell ref="V19:X20"/>
    <mergeCell ref="D22:P22"/>
    <mergeCell ref="D23:P23"/>
    <mergeCell ref="D21:P21"/>
    <mergeCell ref="D19:P19"/>
    <mergeCell ref="R19:U19"/>
    <mergeCell ref="D20:P20"/>
    <mergeCell ref="R20:U20"/>
    <mergeCell ref="R168:U168"/>
    <mergeCell ref="D24:P24"/>
    <mergeCell ref="R23:X24"/>
    <mergeCell ref="D40:P40"/>
    <mergeCell ref="D41:P41"/>
    <mergeCell ref="D38:P38"/>
    <mergeCell ref="R38:U38"/>
    <mergeCell ref="R34:U34"/>
    <mergeCell ref="R35:U35"/>
    <mergeCell ref="D134:U134"/>
    <mergeCell ref="R36:U36"/>
    <mergeCell ref="R100:U101"/>
    <mergeCell ref="R165:U165"/>
    <mergeCell ref="V100:V101"/>
    <mergeCell ref="R160:U160"/>
    <mergeCell ref="R127:U127"/>
    <mergeCell ref="R164:U164"/>
    <mergeCell ref="R155:U155"/>
    <mergeCell ref="C148:R148"/>
    <mergeCell ref="R162:U162"/>
    <mergeCell ref="D159:F159"/>
    <mergeCell ref="D163:F163"/>
    <mergeCell ref="R175:U175"/>
    <mergeCell ref="V37:X38"/>
    <mergeCell ref="R39:U39"/>
    <mergeCell ref="R40:U40"/>
    <mergeCell ref="V117:X120"/>
    <mergeCell ref="V106:X107"/>
    <mergeCell ref="V52:X55"/>
    <mergeCell ref="V46:X47"/>
    <mergeCell ref="R66:U66"/>
    <mergeCell ref="R167:U167"/>
    <mergeCell ref="R170:U170"/>
    <mergeCell ref="X100:X101"/>
    <mergeCell ref="D68:P68"/>
    <mergeCell ref="D69:P69"/>
    <mergeCell ref="D129:P129"/>
    <mergeCell ref="D130:P130"/>
    <mergeCell ref="D131:P131"/>
    <mergeCell ref="D132:P132"/>
    <mergeCell ref="R157:U157"/>
    <mergeCell ref="R158:U158"/>
    <mergeCell ref="R139:U139"/>
    <mergeCell ref="D150:T150"/>
    <mergeCell ref="D146:P146"/>
    <mergeCell ref="R142:X147"/>
    <mergeCell ref="D141:P141"/>
    <mergeCell ref="D140:P140"/>
    <mergeCell ref="R136:U136"/>
    <mergeCell ref="R137:U137"/>
    <mergeCell ref="D138:P138"/>
    <mergeCell ref="R138:U138"/>
    <mergeCell ref="D128:P128"/>
    <mergeCell ref="R108:U108"/>
    <mergeCell ref="R109:U109"/>
    <mergeCell ref="C117:R117"/>
    <mergeCell ref="D119:T119"/>
    <mergeCell ref="D112:P112"/>
    <mergeCell ref="D113:P113"/>
    <mergeCell ref="D114:P114"/>
    <mergeCell ref="D109:P109"/>
    <mergeCell ref="D108:P108"/>
    <mergeCell ref="R128:X129"/>
    <mergeCell ref="D110:P110"/>
    <mergeCell ref="D111:P111"/>
    <mergeCell ref="R125:U125"/>
    <mergeCell ref="D126:P126"/>
    <mergeCell ref="R123:U123"/>
    <mergeCell ref="D124:P124"/>
    <mergeCell ref="R124:U124"/>
    <mergeCell ref="D125:P125"/>
    <mergeCell ref="D127:P127"/>
    <mergeCell ref="Q104:Q105"/>
    <mergeCell ref="R104:U105"/>
    <mergeCell ref="V104:V105"/>
    <mergeCell ref="Q102:Q103"/>
    <mergeCell ref="R102:U103"/>
    <mergeCell ref="D70:P70"/>
    <mergeCell ref="D71:P71"/>
    <mergeCell ref="D72:P72"/>
    <mergeCell ref="V102:V103"/>
    <mergeCell ref="D87:P87"/>
    <mergeCell ref="D86:P86"/>
    <mergeCell ref="D83:P83"/>
    <mergeCell ref="D84:P84"/>
    <mergeCell ref="R84:U84"/>
    <mergeCell ref="R81:U81"/>
    <mergeCell ref="D64:P64"/>
    <mergeCell ref="R64:U64"/>
    <mergeCell ref="D65:P65"/>
    <mergeCell ref="R65:U65"/>
    <mergeCell ref="R78:U78"/>
    <mergeCell ref="R50:U50"/>
    <mergeCell ref="D53:S53"/>
    <mergeCell ref="D51:P51"/>
    <mergeCell ref="Q51:U51"/>
    <mergeCell ref="R61:U61"/>
    <mergeCell ref="R62:U62"/>
    <mergeCell ref="D54:T54"/>
    <mergeCell ref="R56:U56"/>
    <mergeCell ref="R57:U57"/>
    <mergeCell ref="R58:U58"/>
    <mergeCell ref="A214:C217"/>
    <mergeCell ref="D213:P213"/>
    <mergeCell ref="D192:P192"/>
    <mergeCell ref="D193:P193"/>
    <mergeCell ref="D194:P194"/>
    <mergeCell ref="D212:P212"/>
    <mergeCell ref="A2:L2"/>
    <mergeCell ref="A3:M3"/>
    <mergeCell ref="A5:L5"/>
    <mergeCell ref="P5:U5"/>
    <mergeCell ref="C7:J7"/>
    <mergeCell ref="Q14:Q15"/>
    <mergeCell ref="R14:U15"/>
    <mergeCell ref="D9:G9"/>
    <mergeCell ref="R11:U11"/>
    <mergeCell ref="Q12:Q13"/>
    <mergeCell ref="R12:U13"/>
    <mergeCell ref="R152:U152"/>
    <mergeCell ref="R154:U154"/>
    <mergeCell ref="R37:U37"/>
    <mergeCell ref="C73:R73"/>
    <mergeCell ref="D75:T75"/>
    <mergeCell ref="R77:U77"/>
    <mergeCell ref="D46:T46"/>
    <mergeCell ref="R79:U79"/>
    <mergeCell ref="R80:U80"/>
    <mergeCell ref="R85:U85"/>
    <mergeCell ref="R86:U86"/>
    <mergeCell ref="D106:P106"/>
    <mergeCell ref="D107:P107"/>
    <mergeCell ref="V196:X197"/>
    <mergeCell ref="D25:P25"/>
    <mergeCell ref="D26:P26"/>
    <mergeCell ref="D27:P27"/>
    <mergeCell ref="D43:P43"/>
    <mergeCell ref="C28:R28"/>
    <mergeCell ref="D30:T30"/>
    <mergeCell ref="R32:U32"/>
    <mergeCell ref="R33:U33"/>
    <mergeCell ref="D37:P37"/>
    <mergeCell ref="R48:U48"/>
    <mergeCell ref="D39:P39"/>
    <mergeCell ref="D42:P42"/>
    <mergeCell ref="R41:X42"/>
    <mergeCell ref="D44:P44"/>
    <mergeCell ref="D45:P45"/>
    <mergeCell ref="R49:U49"/>
    <mergeCell ref="D50:P50"/>
    <mergeCell ref="F221:P221"/>
    <mergeCell ref="F222:P222"/>
    <mergeCell ref="F223:P223"/>
    <mergeCell ref="F224:P224"/>
    <mergeCell ref="D133:S133"/>
    <mergeCell ref="F229:P229"/>
    <mergeCell ref="F238:P238"/>
    <mergeCell ref="F239:P239"/>
    <mergeCell ref="F240:P240"/>
    <mergeCell ref="F230:P230"/>
    <mergeCell ref="F231:P231"/>
    <mergeCell ref="F236:P236"/>
    <mergeCell ref="F237:P237"/>
    <mergeCell ref="F225:P225"/>
    <mergeCell ref="D220:P220"/>
    <mergeCell ref="D216:P216"/>
    <mergeCell ref="D214:P214"/>
    <mergeCell ref="D217:P217"/>
    <mergeCell ref="D215:P215"/>
    <mergeCell ref="D139:P139"/>
    <mergeCell ref="D145:P145"/>
    <mergeCell ref="D144:P144"/>
    <mergeCell ref="R161:U161"/>
    <mergeCell ref="R156:U156"/>
    <mergeCell ref="F242:P242"/>
    <mergeCell ref="F232:P232"/>
    <mergeCell ref="F233:P233"/>
    <mergeCell ref="F234:P234"/>
    <mergeCell ref="F235:P235"/>
    <mergeCell ref="F241:P241"/>
    <mergeCell ref="F226:P226"/>
    <mergeCell ref="F227:P227"/>
    <mergeCell ref="F228:P228"/>
  </mergeCells>
  <phoneticPr fontId="9" type="noConversion"/>
  <pageMargins left="0.78740157499999996" right="0.78740157499999996" top="0.984251969" bottom="0.984251969" header="0.49212598499999999" footer="0.49212598499999999"/>
  <pageSetup paperSize="9" scale="67" orientation="landscape" horizontalDpi="200" verticalDpi="200" r:id="rId1"/>
  <headerFooter alignWithMargins="0"/>
  <rowBreaks count="5" manualBreakCount="5">
    <brk id="27" max="16383" man="1"/>
    <brk id="72" max="16383" man="1"/>
    <brk id="115" max="16383" man="1"/>
    <brk id="147" max="16383" man="1"/>
    <brk id="1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B20" sqref="B20"/>
    </sheetView>
  </sheetViews>
  <sheetFormatPr defaultRowHeight="12.75"/>
  <sheetData>
    <row r="1" spans="1:8" ht="12.75" customHeight="1">
      <c r="A1" s="449" t="s">
        <v>159</v>
      </c>
      <c r="B1" s="450"/>
      <c r="C1" s="450"/>
      <c r="D1" s="450"/>
      <c r="E1" s="450"/>
      <c r="F1" s="450"/>
      <c r="G1" s="450"/>
      <c r="H1" s="451"/>
    </row>
    <row r="2" spans="1:8" ht="13.5" thickBot="1">
      <c r="A2" s="452"/>
      <c r="B2" s="453"/>
      <c r="C2" s="453"/>
      <c r="D2" s="453"/>
      <c r="E2" s="453"/>
      <c r="F2" s="453"/>
      <c r="G2" s="453"/>
      <c r="H2" s="454"/>
    </row>
    <row r="4" spans="1:8" ht="13.5" thickBot="1"/>
    <row r="5" spans="1:8">
      <c r="A5" s="224" t="s">
        <v>161</v>
      </c>
      <c r="B5" s="232">
        <f>'PART-OCC-UNIR'!Q211</f>
        <v>10655.394475000001</v>
      </c>
    </row>
    <row r="6" spans="1:8">
      <c r="A6" s="218" t="s">
        <v>162</v>
      </c>
      <c r="B6" s="219">
        <v>0</v>
      </c>
    </row>
    <row r="7" spans="1:8">
      <c r="A7" s="225" t="s">
        <v>163</v>
      </c>
      <c r="B7" s="233">
        <f>'PART-OCC-UNIR'!Q212</f>
        <v>314</v>
      </c>
    </row>
    <row r="8" spans="1:8" ht="13.5" thickBot="1">
      <c r="A8" s="220" t="s">
        <v>164</v>
      </c>
      <c r="B8" s="221">
        <v>0</v>
      </c>
    </row>
    <row r="19" spans="1:2" ht="13.5" thickBot="1"/>
    <row r="20" spans="1:2" ht="13.5" thickBot="1">
      <c r="A20" s="222" t="s">
        <v>160</v>
      </c>
      <c r="B20" s="223">
        <f>SUM(B5:B8)</f>
        <v>10969.394475000001</v>
      </c>
    </row>
  </sheetData>
  <mergeCells count="1">
    <mergeCell ref="A1:H2"/>
  </mergeCells>
  <phoneticPr fontId="9" type="noConversion"/>
  <pageMargins left="0.78740157499999996" right="0.78740157499999996" top="0.984251969" bottom="0.984251969" header="0.49212598499999999" footer="0.49212598499999999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6"/>
  <sheetViews>
    <sheetView tabSelected="1" view="pageBreakPreview" topLeftCell="D1" zoomScale="145" zoomScaleNormal="70" workbookViewId="0">
      <selection activeCell="R16" sqref="R16:X17"/>
    </sheetView>
  </sheetViews>
  <sheetFormatPr defaultRowHeight="12.75"/>
  <cols>
    <col min="1" max="1" width="1.28515625" customWidth="1"/>
    <col min="2" max="2" width="0.5703125" customWidth="1"/>
    <col min="3" max="3" width="1.140625" customWidth="1"/>
    <col min="4" max="4" width="12.28515625" customWidth="1"/>
    <col min="5" max="5" width="0.140625" customWidth="1"/>
    <col min="6" max="6" width="32.7109375" customWidth="1"/>
    <col min="7" max="7" width="0.140625" customWidth="1"/>
    <col min="8" max="8" width="6.42578125" customWidth="1"/>
    <col min="9" max="9" width="0.140625" customWidth="1"/>
    <col min="10" max="10" width="6.42578125" customWidth="1"/>
    <col min="11" max="11" width="0.140625" customWidth="1"/>
    <col min="12" max="12" width="6.42578125" customWidth="1"/>
    <col min="13" max="13" width="0.140625" customWidth="1"/>
    <col min="14" max="14" width="6.42578125" customWidth="1"/>
    <col min="15" max="15" width="0.140625" customWidth="1"/>
    <col min="16" max="16" width="6.42578125" customWidth="1"/>
    <col min="17" max="17" width="10.42578125" customWidth="1"/>
    <col min="18" max="18" width="5.85546875" customWidth="1"/>
    <col min="19" max="19" width="0.7109375" customWidth="1"/>
    <col min="20" max="20" width="1.7109375" customWidth="1"/>
    <col min="21" max="21" width="2.140625" customWidth="1"/>
    <col min="25" max="25" width="12.28515625" bestFit="1" customWidth="1"/>
    <col min="26" max="26" width="14" bestFit="1" customWidth="1"/>
  </cols>
  <sheetData>
    <row r="1" spans="1:26" ht="18" customHeight="1">
      <c r="A1" s="1"/>
      <c r="B1" s="1"/>
      <c r="C1" s="287" t="s">
        <v>90</v>
      </c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1"/>
      <c r="T1" s="1"/>
      <c r="U1" s="1"/>
      <c r="V1" s="315"/>
      <c r="W1" s="315"/>
      <c r="X1" s="315"/>
    </row>
    <row r="2" spans="1:2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15"/>
      <c r="W2" s="315"/>
      <c r="X2" s="315"/>
    </row>
    <row r="3" spans="1:26" ht="13.5" customHeight="1">
      <c r="A3" s="1"/>
      <c r="B3" s="1"/>
      <c r="C3" s="1"/>
      <c r="D3" s="319" t="s">
        <v>91</v>
      </c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1"/>
      <c r="V3" s="315"/>
      <c r="W3" s="315"/>
      <c r="X3" s="315"/>
    </row>
    <row r="4" spans="1:26" ht="12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02"/>
      <c r="W4" s="402"/>
      <c r="X4" s="402"/>
      <c r="Z4" s="15"/>
    </row>
    <row r="5" spans="1:26" ht="14.1" customHeight="1" thickBot="1">
      <c r="A5" s="1"/>
      <c r="B5" s="1"/>
      <c r="C5" s="1"/>
      <c r="D5" s="18" t="s">
        <v>5</v>
      </c>
      <c r="E5" s="19"/>
      <c r="F5" s="20" t="s">
        <v>6</v>
      </c>
      <c r="G5" s="19"/>
      <c r="H5" s="21" t="s">
        <v>7</v>
      </c>
      <c r="I5" s="19"/>
      <c r="J5" s="21" t="s">
        <v>8</v>
      </c>
      <c r="K5" s="19"/>
      <c r="L5" s="21" t="s">
        <v>9</v>
      </c>
      <c r="M5" s="19"/>
      <c r="N5" s="21" t="s">
        <v>10</v>
      </c>
      <c r="O5" s="19"/>
      <c r="P5" s="50" t="s">
        <v>11</v>
      </c>
      <c r="Q5" s="32" t="s">
        <v>167</v>
      </c>
      <c r="R5" s="334" t="s">
        <v>171</v>
      </c>
      <c r="S5" s="335"/>
      <c r="T5" s="335"/>
      <c r="U5" s="335"/>
      <c r="V5" s="111" t="s">
        <v>191</v>
      </c>
      <c r="W5" s="107" t="s">
        <v>193</v>
      </c>
      <c r="X5" s="108" t="s">
        <v>194</v>
      </c>
    </row>
    <row r="6" spans="1:26" ht="26.25" customHeight="1" thickBot="1">
      <c r="A6" s="1"/>
      <c r="B6" s="1"/>
      <c r="C6" s="1"/>
      <c r="D6" s="447" t="s">
        <v>206</v>
      </c>
      <c r="E6" s="448"/>
      <c r="F6" s="448"/>
      <c r="G6" s="118"/>
      <c r="H6" s="119"/>
      <c r="I6" s="118"/>
      <c r="J6" s="119"/>
      <c r="K6" s="118"/>
      <c r="L6" s="119"/>
      <c r="M6" s="118"/>
      <c r="N6" s="119"/>
      <c r="O6" s="118"/>
      <c r="P6" s="119"/>
      <c r="Q6" s="120"/>
      <c r="R6" s="120"/>
      <c r="S6" s="120"/>
      <c r="T6" s="120"/>
      <c r="U6" s="120"/>
      <c r="V6" s="121"/>
      <c r="W6" s="122"/>
      <c r="X6" s="123"/>
    </row>
    <row r="7" spans="1:26" ht="14.1" customHeight="1">
      <c r="A7" s="1"/>
      <c r="B7" s="1"/>
      <c r="C7" s="1"/>
      <c r="D7" s="112" t="s">
        <v>92</v>
      </c>
      <c r="E7" s="1"/>
      <c r="F7" s="113" t="s">
        <v>72</v>
      </c>
      <c r="G7" s="1"/>
      <c r="H7" s="114" t="s">
        <v>16</v>
      </c>
      <c r="I7" s="1"/>
      <c r="J7" s="114">
        <v>47</v>
      </c>
      <c r="K7" s="1"/>
      <c r="L7" s="114">
        <v>52</v>
      </c>
      <c r="M7" s="1"/>
      <c r="N7" s="114">
        <v>217</v>
      </c>
      <c r="O7" s="1"/>
      <c r="P7" s="115">
        <v>18</v>
      </c>
      <c r="Q7" s="116">
        <f>(((P7)*(1+0.12)+(((L7)-(P7))/4))*1*4*1.15*1)</f>
        <v>131.83600000000001</v>
      </c>
      <c r="R7" s="459">
        <f>(Q7/Q12)</f>
        <v>0.19126749753908273</v>
      </c>
      <c r="S7" s="460"/>
      <c r="T7" s="460"/>
      <c r="U7" s="461"/>
      <c r="V7" s="77">
        <v>3</v>
      </c>
      <c r="W7" s="95"/>
      <c r="X7" s="117">
        <f>V7/Q110</f>
        <v>0.95454545454545459</v>
      </c>
      <c r="Z7" s="15"/>
    </row>
    <row r="8" spans="1:26" ht="11.25" customHeight="1">
      <c r="A8" s="1"/>
      <c r="B8" s="1"/>
      <c r="C8" s="1"/>
      <c r="D8" s="99" t="s">
        <v>98</v>
      </c>
      <c r="E8" s="1"/>
      <c r="F8" s="6" t="s">
        <v>99</v>
      </c>
      <c r="G8" s="1"/>
      <c r="H8" s="7" t="s">
        <v>16</v>
      </c>
      <c r="I8" s="1"/>
      <c r="J8" s="7">
        <v>30</v>
      </c>
      <c r="K8" s="1"/>
      <c r="L8" s="7">
        <v>48</v>
      </c>
      <c r="M8" s="1"/>
      <c r="N8" s="7">
        <v>235</v>
      </c>
      <c r="O8" s="1"/>
      <c r="P8" s="51">
        <v>20</v>
      </c>
      <c r="Q8" s="29">
        <f>(((P8)*(1+0.12)+(((L8)-(P8))/4))*1*4*1.15*1)</f>
        <v>135.24</v>
      </c>
      <c r="R8" s="459">
        <f>(Q8/Q12)</f>
        <v>0.19620601631713303</v>
      </c>
      <c r="S8" s="460"/>
      <c r="T8" s="460"/>
      <c r="U8" s="461"/>
      <c r="V8" s="70">
        <v>3</v>
      </c>
      <c r="W8" s="65"/>
      <c r="X8" s="71">
        <f>V8/Q110</f>
        <v>0.95454545454545459</v>
      </c>
    </row>
    <row r="9" spans="1:26" ht="12" customHeight="1">
      <c r="A9" s="1"/>
      <c r="B9" s="1"/>
      <c r="C9" s="1"/>
      <c r="D9" s="99" t="s">
        <v>100</v>
      </c>
      <c r="E9" s="1"/>
      <c r="F9" s="6" t="s">
        <v>101</v>
      </c>
      <c r="G9" s="1"/>
      <c r="H9" s="7" t="s">
        <v>16</v>
      </c>
      <c r="I9" s="1"/>
      <c r="J9" s="7">
        <v>50</v>
      </c>
      <c r="K9" s="1"/>
      <c r="L9" s="7">
        <v>46</v>
      </c>
      <c r="M9" s="1"/>
      <c r="N9" s="7">
        <v>145</v>
      </c>
      <c r="O9" s="1"/>
      <c r="P9" s="51">
        <v>0</v>
      </c>
      <c r="Q9" s="29">
        <f>((N9)*1*1.15*1)</f>
        <v>166.75</v>
      </c>
      <c r="R9" s="459">
        <f>(Q9/Q12)</f>
        <v>0.2419206833842201</v>
      </c>
      <c r="S9" s="460"/>
      <c r="T9" s="460"/>
      <c r="U9" s="461"/>
      <c r="V9" s="70">
        <v>3</v>
      </c>
      <c r="W9" s="65">
        <v>0</v>
      </c>
      <c r="X9" s="71">
        <f>V9/Q110</f>
        <v>0.95454545454545459</v>
      </c>
    </row>
    <row r="10" spans="1:26" ht="12.75" customHeight="1">
      <c r="A10" s="1"/>
      <c r="B10" s="1"/>
      <c r="C10" s="1"/>
      <c r="D10" s="99" t="s">
        <v>102</v>
      </c>
      <c r="E10" s="1"/>
      <c r="F10" s="6" t="s">
        <v>103</v>
      </c>
      <c r="G10" s="1"/>
      <c r="H10" s="7" t="s">
        <v>16</v>
      </c>
      <c r="I10" s="1"/>
      <c r="J10" s="7">
        <v>44</v>
      </c>
      <c r="K10" s="1"/>
      <c r="L10" s="7">
        <v>52</v>
      </c>
      <c r="M10" s="1"/>
      <c r="N10" s="7">
        <v>184</v>
      </c>
      <c r="O10" s="1"/>
      <c r="P10" s="51">
        <v>11</v>
      </c>
      <c r="Q10" s="29">
        <f>(((P10)*(1+0.12)+(((L10)-(P10))/4))*1*4*1.15*1)</f>
        <v>103.82199999999999</v>
      </c>
      <c r="R10" s="459">
        <f>(Q10/Q12)</f>
        <v>0.15062482273053371</v>
      </c>
      <c r="S10" s="460"/>
      <c r="T10" s="460"/>
      <c r="U10" s="461"/>
      <c r="V10" s="70">
        <v>2</v>
      </c>
      <c r="W10" s="65"/>
      <c r="X10" s="71">
        <f>V10/Q110</f>
        <v>0.63636363636363635</v>
      </c>
    </row>
    <row r="11" spans="1:26" ht="14.25" customHeight="1" thickBot="1">
      <c r="A11" s="1"/>
      <c r="B11" s="1"/>
      <c r="C11" s="1"/>
      <c r="D11" s="99" t="s">
        <v>105</v>
      </c>
      <c r="E11" s="1"/>
      <c r="F11" s="6" t="s">
        <v>106</v>
      </c>
      <c r="G11" s="1"/>
      <c r="H11" s="7" t="s">
        <v>16</v>
      </c>
      <c r="I11" s="1"/>
      <c r="J11" s="7">
        <v>100</v>
      </c>
      <c r="K11" s="1"/>
      <c r="L11" s="7">
        <v>102</v>
      </c>
      <c r="M11" s="1"/>
      <c r="N11" s="7">
        <v>454</v>
      </c>
      <c r="O11" s="1"/>
      <c r="P11" s="51">
        <v>1</v>
      </c>
      <c r="Q11" s="29">
        <f>(((P11)*(1+0.12)+(((L11)-(P11))/4))*1*5*1.15*1)</f>
        <v>151.62749999999997</v>
      </c>
      <c r="R11" s="459">
        <f>(Q11/Q12)</f>
        <v>0.21998098002903044</v>
      </c>
      <c r="S11" s="460"/>
      <c r="T11" s="460"/>
      <c r="U11" s="461"/>
      <c r="V11" s="158">
        <v>2</v>
      </c>
      <c r="W11" s="94"/>
      <c r="X11" s="159">
        <f>V11/Q110</f>
        <v>0.63636363636363635</v>
      </c>
    </row>
    <row r="12" spans="1:26" ht="14.1" customHeight="1" thickBot="1">
      <c r="A12" s="1"/>
      <c r="B12" s="1"/>
      <c r="C12" s="1"/>
      <c r="D12" s="313" t="s">
        <v>312</v>
      </c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60">
        <f>SUM(Q7:Q11)</f>
        <v>689.27549999999997</v>
      </c>
      <c r="R12" s="464">
        <f>SUM(R7:R11)</f>
        <v>1</v>
      </c>
      <c r="S12" s="465"/>
      <c r="T12" s="465"/>
      <c r="U12" s="466"/>
      <c r="V12" s="392"/>
      <c r="W12" s="393"/>
      <c r="X12" s="394"/>
    </row>
    <row r="13" spans="1:26" ht="12.75" customHeight="1" thickBot="1">
      <c r="A13" s="1"/>
      <c r="B13" s="1"/>
      <c r="C13" s="1"/>
      <c r="D13" s="301" t="s">
        <v>313</v>
      </c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60">
        <f>(Q12+Q90)</f>
        <v>719.27549999999997</v>
      </c>
      <c r="R13" s="377">
        <f>Q13/Q109</f>
        <v>0.13958029978088077</v>
      </c>
      <c r="S13" s="378"/>
      <c r="T13" s="378"/>
      <c r="U13" s="379"/>
      <c r="V13" s="401"/>
      <c r="W13" s="402"/>
      <c r="X13" s="403"/>
    </row>
    <row r="14" spans="1:26" ht="13.5" customHeight="1" thickBot="1">
      <c r="A14" s="1"/>
      <c r="B14" s="1"/>
      <c r="C14" s="1"/>
      <c r="D14" s="342" t="s">
        <v>314</v>
      </c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4"/>
      <c r="Q14" s="49">
        <f>SUM(X7:X11)/5</f>
        <v>0.82727272727272738</v>
      </c>
      <c r="R14" s="309" t="s">
        <v>221</v>
      </c>
      <c r="S14" s="310"/>
      <c r="T14" s="310"/>
      <c r="U14" s="310"/>
      <c r="V14" s="162" t="s">
        <v>222</v>
      </c>
      <c r="W14" s="162" t="s">
        <v>223</v>
      </c>
      <c r="X14" s="163" t="s">
        <v>224</v>
      </c>
    </row>
    <row r="15" spans="1:26" ht="13.5" customHeight="1" thickBot="1">
      <c r="A15" s="1"/>
      <c r="B15" s="1"/>
      <c r="C15" s="1"/>
      <c r="D15" s="355" t="s">
        <v>315</v>
      </c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7"/>
      <c r="Q15" s="59">
        <f>Q13/SUM(R15:X15)</f>
        <v>41.867025611175784</v>
      </c>
      <c r="R15" s="311">
        <f>(8)*1.7</f>
        <v>13.6</v>
      </c>
      <c r="S15" s="312"/>
      <c r="T15" s="312"/>
      <c r="U15" s="312"/>
      <c r="V15" s="164">
        <f>3*1</f>
        <v>3</v>
      </c>
      <c r="W15" s="164">
        <f>1*0.58</f>
        <v>0.57999999999999996</v>
      </c>
      <c r="X15" s="79">
        <f>0*1</f>
        <v>0</v>
      </c>
    </row>
    <row r="16" spans="1:26" ht="13.5" customHeight="1" thickBot="1">
      <c r="A16" s="1"/>
      <c r="B16" s="1"/>
      <c r="C16" s="1"/>
      <c r="D16" s="372" t="s">
        <v>316</v>
      </c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4"/>
      <c r="Q16" s="59">
        <f>Q15/Q112</f>
        <v>2.436700970271902</v>
      </c>
      <c r="R16" s="348"/>
      <c r="S16" s="349"/>
      <c r="T16" s="349"/>
      <c r="U16" s="349"/>
      <c r="V16" s="349"/>
      <c r="W16" s="349"/>
      <c r="X16" s="349"/>
    </row>
    <row r="17" spans="1:24" ht="13.5" customHeight="1" thickBot="1">
      <c r="A17" s="1"/>
      <c r="B17" s="1"/>
      <c r="C17" s="1"/>
      <c r="D17" s="345" t="s">
        <v>317</v>
      </c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7"/>
      <c r="Q17" s="170">
        <f>Q14+Q16+W90</f>
        <v>4.1950081803032502</v>
      </c>
      <c r="R17" s="348"/>
      <c r="S17" s="349"/>
      <c r="T17" s="349"/>
      <c r="U17" s="349"/>
      <c r="V17" s="349"/>
      <c r="W17" s="349"/>
      <c r="X17" s="349"/>
    </row>
    <row r="18" spans="1:24" ht="12.75" customHeight="1" thickBot="1">
      <c r="A18" s="1"/>
      <c r="B18" s="1"/>
      <c r="C18" s="1"/>
      <c r="D18" s="316" t="s">
        <v>318</v>
      </c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8"/>
      <c r="Q18" s="173">
        <f>Q13/Q109</f>
        <v>0.13958029978088077</v>
      </c>
      <c r="R18" s="165"/>
      <c r="S18" s="165"/>
      <c r="T18" s="165"/>
      <c r="U18" s="165"/>
      <c r="V18" s="165"/>
      <c r="W18" s="165"/>
      <c r="X18" s="165"/>
    </row>
    <row r="19" spans="1:24" ht="14.25" customHeight="1" thickBot="1">
      <c r="A19" s="1"/>
      <c r="B19" s="1"/>
      <c r="C19" s="1"/>
      <c r="D19" s="303" t="s">
        <v>319</v>
      </c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5"/>
      <c r="Q19" s="173">
        <f>Q17/Q113</f>
        <v>0.28598887840770409</v>
      </c>
      <c r="R19" s="165"/>
      <c r="S19" s="165"/>
      <c r="T19" s="165"/>
      <c r="U19" s="165"/>
      <c r="V19" s="165"/>
      <c r="W19" s="165"/>
      <c r="X19" s="165"/>
    </row>
    <row r="20" spans="1:24" ht="14.25" customHeight="1" thickBot="1">
      <c r="A20" s="1"/>
      <c r="B20" s="1"/>
      <c r="C20" s="1"/>
      <c r="D20" s="298" t="s">
        <v>320</v>
      </c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300"/>
      <c r="Q20" s="174">
        <f>((Q18*0.8)+(Q19*0.2))</f>
        <v>0.16886201550624544</v>
      </c>
      <c r="R20" s="165"/>
      <c r="S20" s="165"/>
      <c r="T20" s="165"/>
      <c r="U20" s="165"/>
      <c r="V20" s="165"/>
      <c r="W20" s="165"/>
      <c r="X20" s="165"/>
    </row>
    <row r="21" spans="1:24" ht="11.25" customHeight="1" thickBot="1">
      <c r="A21" s="1"/>
      <c r="B21" s="1"/>
      <c r="C21" s="1"/>
      <c r="D21" s="385" t="s">
        <v>207</v>
      </c>
      <c r="E21" s="386"/>
      <c r="F21" s="386"/>
      <c r="G21" s="124"/>
      <c r="H21" s="125"/>
      <c r="I21" s="124"/>
      <c r="J21" s="125"/>
      <c r="K21" s="124"/>
      <c r="L21" s="125"/>
      <c r="M21" s="124"/>
      <c r="N21" s="125"/>
      <c r="O21" s="124"/>
      <c r="P21" s="125"/>
      <c r="Q21" s="126"/>
      <c r="R21" s="126"/>
      <c r="S21" s="126"/>
      <c r="T21" s="126"/>
      <c r="U21" s="126"/>
      <c r="V21" s="127"/>
      <c r="W21" s="128"/>
      <c r="X21" s="129"/>
    </row>
    <row r="22" spans="1:24" ht="11.25" customHeight="1">
      <c r="A22" s="1"/>
      <c r="B22" s="1"/>
      <c r="C22" s="1"/>
      <c r="D22" s="102" t="s">
        <v>110</v>
      </c>
      <c r="E22" s="1"/>
      <c r="F22" s="6" t="s">
        <v>111</v>
      </c>
      <c r="G22" s="1"/>
      <c r="H22" s="7" t="s">
        <v>25</v>
      </c>
      <c r="I22" s="1"/>
      <c r="J22" s="7">
        <v>50</v>
      </c>
      <c r="K22" s="1"/>
      <c r="L22" s="7">
        <v>46</v>
      </c>
      <c r="M22" s="1"/>
      <c r="N22" s="7">
        <v>176</v>
      </c>
      <c r="O22" s="1"/>
      <c r="P22" s="51">
        <v>0</v>
      </c>
      <c r="Q22" s="29">
        <f>((N22)*2*1*1)</f>
        <v>352</v>
      </c>
      <c r="R22" s="413">
        <f>(Q22/Q25)</f>
        <v>0.44268098672585848</v>
      </c>
      <c r="S22" s="414"/>
      <c r="T22" s="414"/>
      <c r="U22" s="415"/>
      <c r="V22" s="70">
        <v>3</v>
      </c>
      <c r="W22" s="65">
        <v>0</v>
      </c>
      <c r="X22" s="71">
        <f>V22/Q110</f>
        <v>0.95454545454545459</v>
      </c>
    </row>
    <row r="23" spans="1:24" ht="13.5" customHeight="1">
      <c r="A23" s="1"/>
      <c r="B23" s="1"/>
      <c r="C23" s="1"/>
      <c r="D23" s="102" t="s">
        <v>112</v>
      </c>
      <c r="E23" s="1"/>
      <c r="F23" s="6" t="s">
        <v>113</v>
      </c>
      <c r="G23" s="1"/>
      <c r="H23" s="7" t="s">
        <v>25</v>
      </c>
      <c r="I23" s="1"/>
      <c r="J23" s="7">
        <v>0</v>
      </c>
      <c r="K23" s="1"/>
      <c r="L23" s="7">
        <v>2</v>
      </c>
      <c r="M23" s="1"/>
      <c r="N23" s="7">
        <v>164</v>
      </c>
      <c r="O23" s="1"/>
      <c r="P23" s="51">
        <v>4</v>
      </c>
      <c r="Q23" s="29">
        <f>((N23)*2*1*1)</f>
        <v>328</v>
      </c>
      <c r="R23" s="389">
        <f>(Q23/Q25)</f>
        <v>0.41249819217636813</v>
      </c>
      <c r="S23" s="390"/>
      <c r="T23" s="390"/>
      <c r="U23" s="391"/>
      <c r="V23" s="70">
        <v>3</v>
      </c>
      <c r="W23" s="65" t="s">
        <v>189</v>
      </c>
      <c r="X23" s="71">
        <f>V23/Q110</f>
        <v>0.95454545454545459</v>
      </c>
    </row>
    <row r="24" spans="1:24" ht="13.5" customHeight="1" thickBot="1">
      <c r="A24" s="1"/>
      <c r="B24" s="1"/>
      <c r="C24" s="1"/>
      <c r="D24" s="102" t="s">
        <v>121</v>
      </c>
      <c r="E24" s="1"/>
      <c r="F24" s="6" t="s">
        <v>122</v>
      </c>
      <c r="G24" s="1"/>
      <c r="H24" s="7" t="s">
        <v>34</v>
      </c>
      <c r="I24" s="1"/>
      <c r="J24" s="7">
        <v>45</v>
      </c>
      <c r="K24" s="1"/>
      <c r="L24" s="7">
        <v>45</v>
      </c>
      <c r="M24" s="1"/>
      <c r="N24" s="7">
        <v>172</v>
      </c>
      <c r="O24" s="1"/>
      <c r="P24" s="51">
        <v>9</v>
      </c>
      <c r="Q24" s="29">
        <f>(((P24)*(1+0.1325)+(((L24)-(P24))/4))*1.5*4*1*1)</f>
        <v>115.15500000000002</v>
      </c>
      <c r="R24" s="322">
        <f>(Q24/Q25)</f>
        <v>0.14482082109777342</v>
      </c>
      <c r="S24" s="323"/>
      <c r="T24" s="323"/>
      <c r="U24" s="412"/>
      <c r="V24" s="70">
        <v>3</v>
      </c>
      <c r="W24" s="65"/>
      <c r="X24" s="71">
        <f>V24/Q110</f>
        <v>0.95454545454545459</v>
      </c>
    </row>
    <row r="25" spans="1:24" ht="14.1" customHeight="1" thickBot="1">
      <c r="A25" s="1"/>
      <c r="B25" s="1"/>
      <c r="C25" s="1"/>
      <c r="D25" s="313" t="s">
        <v>321</v>
      </c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60">
        <f>SUM(Q22:Q24)</f>
        <v>795.15499999999997</v>
      </c>
      <c r="R25" s="358">
        <f>SUM(R22:U24)</f>
        <v>1</v>
      </c>
      <c r="S25" s="359"/>
      <c r="T25" s="359"/>
      <c r="U25" s="422"/>
      <c r="V25" s="392"/>
      <c r="W25" s="393"/>
      <c r="X25" s="394"/>
    </row>
    <row r="26" spans="1:24" ht="12.75" customHeight="1" thickBot="1">
      <c r="A26" s="1"/>
      <c r="B26" s="1"/>
      <c r="C26" s="1"/>
      <c r="D26" s="301" t="s">
        <v>322</v>
      </c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60">
        <f>(Q25)</f>
        <v>795.15499999999997</v>
      </c>
      <c r="R26" s="377">
        <f>((Q26)/Q109)</f>
        <v>0.15430523251836917</v>
      </c>
      <c r="S26" s="378"/>
      <c r="T26" s="378"/>
      <c r="U26" s="379"/>
      <c r="V26" s="401"/>
      <c r="W26" s="402"/>
      <c r="X26" s="403"/>
    </row>
    <row r="27" spans="1:24" ht="13.5" customHeight="1" thickBot="1">
      <c r="A27" s="1"/>
      <c r="B27" s="1"/>
      <c r="C27" s="1"/>
      <c r="D27" s="342" t="s">
        <v>323</v>
      </c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4"/>
      <c r="Q27" s="49">
        <f>SUM(X22:X24)/3</f>
        <v>0.95454545454545459</v>
      </c>
      <c r="R27" s="309" t="s">
        <v>221</v>
      </c>
      <c r="S27" s="310"/>
      <c r="T27" s="310"/>
      <c r="U27" s="310"/>
      <c r="V27" s="162" t="s">
        <v>222</v>
      </c>
      <c r="W27" s="162" t="s">
        <v>223</v>
      </c>
      <c r="X27" s="163" t="s">
        <v>224</v>
      </c>
    </row>
    <row r="28" spans="1:24" ht="13.5" customHeight="1" thickBot="1">
      <c r="A28" s="1"/>
      <c r="B28" s="1"/>
      <c r="C28" s="1"/>
      <c r="D28" s="355" t="s">
        <v>324</v>
      </c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7"/>
      <c r="Q28" s="59">
        <f>Q26/SUM(R28:X28)</f>
        <v>16.496991701244813</v>
      </c>
      <c r="R28" s="311">
        <f>(26)*1.7</f>
        <v>44.199999999999996</v>
      </c>
      <c r="S28" s="312"/>
      <c r="T28" s="312"/>
      <c r="U28" s="312"/>
      <c r="V28" s="164">
        <f>0*1</f>
        <v>0</v>
      </c>
      <c r="W28" s="164">
        <f>0*0.58</f>
        <v>0</v>
      </c>
      <c r="X28" s="79">
        <f>4*1</f>
        <v>4</v>
      </c>
    </row>
    <row r="29" spans="1:24" ht="13.5" customHeight="1" thickBot="1">
      <c r="A29" s="1"/>
      <c r="B29" s="1"/>
      <c r="C29" s="1"/>
      <c r="D29" s="372" t="s">
        <v>325</v>
      </c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4"/>
      <c r="Q29" s="59">
        <f>Q28/Q112</f>
        <v>0.96014070973937127</v>
      </c>
      <c r="R29" s="348"/>
      <c r="S29" s="349"/>
      <c r="T29" s="349"/>
      <c r="U29" s="349"/>
      <c r="V29" s="349"/>
      <c r="W29" s="349"/>
      <c r="X29" s="349"/>
    </row>
    <row r="30" spans="1:24" ht="13.5" customHeight="1" thickBot="1">
      <c r="A30" s="1"/>
      <c r="B30" s="1"/>
      <c r="C30" s="1"/>
      <c r="D30" s="345" t="s">
        <v>326</v>
      </c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7"/>
      <c r="Q30" s="170">
        <f>Q27+Q29+Q100</f>
        <v>2.9146861642848263</v>
      </c>
      <c r="R30" s="348"/>
      <c r="S30" s="349"/>
      <c r="T30" s="349"/>
      <c r="U30" s="349"/>
      <c r="V30" s="349"/>
      <c r="W30" s="349"/>
      <c r="X30" s="349"/>
    </row>
    <row r="31" spans="1:24" ht="12.75" customHeight="1" thickBot="1">
      <c r="A31" s="1"/>
      <c r="B31" s="1"/>
      <c r="C31" s="1"/>
      <c r="D31" s="316" t="s">
        <v>327</v>
      </c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8"/>
      <c r="Q31" s="173">
        <f>Q26/Q109</f>
        <v>0.15430523251836917</v>
      </c>
      <c r="R31" s="165"/>
      <c r="S31" s="165"/>
      <c r="T31" s="165"/>
      <c r="U31" s="165"/>
      <c r="V31" s="165"/>
      <c r="W31" s="165"/>
      <c r="X31" s="165"/>
    </row>
    <row r="32" spans="1:24" ht="14.25" customHeight="1" thickBot="1">
      <c r="A32" s="1"/>
      <c r="B32" s="1"/>
      <c r="C32" s="1"/>
      <c r="D32" s="303" t="s">
        <v>328</v>
      </c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5"/>
      <c r="Q32" s="173">
        <f>Q30/Q113</f>
        <v>0.19870469644090502</v>
      </c>
      <c r="R32" s="165"/>
      <c r="S32" s="165"/>
      <c r="T32" s="165"/>
      <c r="U32" s="165"/>
      <c r="V32" s="165"/>
      <c r="W32" s="165"/>
      <c r="X32" s="165"/>
    </row>
    <row r="33" spans="1:26" ht="14.25" customHeight="1" thickBot="1">
      <c r="A33" s="1"/>
      <c r="B33" s="1"/>
      <c r="C33" s="1"/>
      <c r="D33" s="298" t="s">
        <v>329</v>
      </c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300"/>
      <c r="Q33" s="174">
        <f>((Q31*0.8)+(Q32*0.2))</f>
        <v>0.16318512530287635</v>
      </c>
      <c r="R33" s="165"/>
      <c r="S33" s="165"/>
      <c r="T33" s="165"/>
      <c r="U33" s="165"/>
      <c r="V33" s="165"/>
      <c r="W33" s="165"/>
      <c r="X33" s="165"/>
    </row>
    <row r="34" spans="1:26" ht="12.75" customHeight="1" thickBot="1">
      <c r="A34" s="1"/>
      <c r="B34" s="1"/>
      <c r="C34" s="1"/>
      <c r="D34" s="387" t="s">
        <v>210</v>
      </c>
      <c r="E34" s="388"/>
      <c r="F34" s="388"/>
      <c r="G34" s="130"/>
      <c r="H34" s="131"/>
      <c r="I34" s="130"/>
      <c r="J34" s="131"/>
      <c r="K34" s="130"/>
      <c r="L34" s="131"/>
      <c r="M34" s="130"/>
      <c r="N34" s="131"/>
      <c r="O34" s="130"/>
      <c r="P34" s="131"/>
      <c r="Q34" s="132"/>
      <c r="R34" s="132"/>
      <c r="S34" s="132"/>
      <c r="T34" s="132"/>
      <c r="U34" s="132"/>
      <c r="V34" s="133"/>
      <c r="W34" s="134"/>
      <c r="X34" s="135"/>
    </row>
    <row r="35" spans="1:26" ht="13.5" customHeight="1" thickBot="1">
      <c r="A35" s="1"/>
      <c r="B35" s="1"/>
      <c r="C35" s="1"/>
      <c r="D35" s="104" t="s">
        <v>97</v>
      </c>
      <c r="E35" s="1"/>
      <c r="F35" s="6" t="s">
        <v>211</v>
      </c>
      <c r="G35" s="1"/>
      <c r="H35" s="7" t="s">
        <v>25</v>
      </c>
      <c r="I35" s="1"/>
      <c r="J35" s="7">
        <v>45</v>
      </c>
      <c r="K35" s="1"/>
      <c r="L35" s="7">
        <v>46</v>
      </c>
      <c r="M35" s="1"/>
      <c r="N35" s="7">
        <v>179</v>
      </c>
      <c r="O35" s="1"/>
      <c r="P35" s="51">
        <v>22</v>
      </c>
      <c r="Q35" s="29">
        <f>(((P35)*(1+0.125)+(((L35)-(P35))/4))*2*4*1*1)</f>
        <v>246</v>
      </c>
      <c r="R35" s="413">
        <f>(Q35/Q40)</f>
        <v>0.28993535384488456</v>
      </c>
      <c r="S35" s="414"/>
      <c r="T35" s="414"/>
      <c r="U35" s="415"/>
      <c r="V35" s="70">
        <v>4</v>
      </c>
      <c r="W35" s="65"/>
      <c r="X35" s="71">
        <f>V35/Q110</f>
        <v>1.2727272727272727</v>
      </c>
      <c r="Y35" s="26"/>
      <c r="Z35" s="26"/>
    </row>
    <row r="36" spans="1:26" ht="12.75" customHeight="1" thickBot="1">
      <c r="A36" s="1"/>
      <c r="B36" s="1"/>
      <c r="C36" s="1"/>
      <c r="D36" s="104" t="s">
        <v>116</v>
      </c>
      <c r="E36" s="1"/>
      <c r="F36" s="6" t="s">
        <v>117</v>
      </c>
      <c r="G36" s="1"/>
      <c r="H36" s="7" t="s">
        <v>34</v>
      </c>
      <c r="I36" s="1"/>
      <c r="J36" s="7">
        <v>50</v>
      </c>
      <c r="K36" s="1"/>
      <c r="L36" s="7">
        <v>50</v>
      </c>
      <c r="M36" s="1"/>
      <c r="N36" s="7">
        <v>121</v>
      </c>
      <c r="O36" s="1"/>
      <c r="P36" s="51">
        <v>7</v>
      </c>
      <c r="Q36" s="29">
        <f>((N36)*2*1*1)</f>
        <v>242</v>
      </c>
      <c r="R36" s="413">
        <f>(Q36/Q40)</f>
        <v>0.28522095784740675</v>
      </c>
      <c r="S36" s="414"/>
      <c r="T36" s="414"/>
      <c r="U36" s="415"/>
      <c r="V36" s="70">
        <v>4</v>
      </c>
      <c r="W36" s="65"/>
      <c r="X36" s="71">
        <f>V36/Q110</f>
        <v>1.2727272727272727</v>
      </c>
      <c r="Y36" s="26"/>
      <c r="Z36" s="26"/>
    </row>
    <row r="37" spans="1:26" ht="12" customHeight="1" thickBot="1">
      <c r="A37" s="1"/>
      <c r="B37" s="1"/>
      <c r="C37" s="1"/>
      <c r="D37" s="104" t="s">
        <v>118</v>
      </c>
      <c r="E37" s="1"/>
      <c r="F37" s="6" t="s">
        <v>119</v>
      </c>
      <c r="G37" s="1"/>
      <c r="H37" s="7" t="s">
        <v>14</v>
      </c>
      <c r="I37" s="1"/>
      <c r="J37" s="7">
        <v>50</v>
      </c>
      <c r="K37" s="1"/>
      <c r="L37" s="7">
        <v>48</v>
      </c>
      <c r="M37" s="1"/>
      <c r="N37" s="7">
        <v>203</v>
      </c>
      <c r="O37" s="1"/>
      <c r="P37" s="51">
        <v>15</v>
      </c>
      <c r="Q37" s="29">
        <f>(((P37)*(1+0.1)+(((L37)-(P37))/4))*1*4*1*1)</f>
        <v>99</v>
      </c>
      <c r="R37" s="413">
        <f>(Q37/Q40)</f>
        <v>0.11668130093757551</v>
      </c>
      <c r="S37" s="414"/>
      <c r="T37" s="414"/>
      <c r="U37" s="415"/>
      <c r="V37" s="70">
        <v>3</v>
      </c>
      <c r="W37" s="65"/>
      <c r="X37" s="71">
        <f>V37/Q110</f>
        <v>0.95454545454545459</v>
      </c>
      <c r="Y37" s="26"/>
      <c r="Z37" s="26"/>
    </row>
    <row r="38" spans="1:26" ht="12" customHeight="1" thickBot="1">
      <c r="A38" s="1"/>
      <c r="B38" s="1"/>
      <c r="C38" s="1"/>
      <c r="D38" s="104" t="s">
        <v>129</v>
      </c>
      <c r="E38" s="1"/>
      <c r="F38" s="6" t="s">
        <v>130</v>
      </c>
      <c r="G38" s="1"/>
      <c r="H38" s="7" t="s">
        <v>34</v>
      </c>
      <c r="I38" s="1"/>
      <c r="J38" s="7">
        <v>45</v>
      </c>
      <c r="K38" s="1"/>
      <c r="L38" s="7">
        <v>47</v>
      </c>
      <c r="M38" s="1"/>
      <c r="N38" s="7">
        <v>147</v>
      </c>
      <c r="O38" s="1"/>
      <c r="P38" s="51">
        <v>11</v>
      </c>
      <c r="Q38" s="29">
        <f>(((P38)*(1+0.1325)+(((L38)-(P38))/4))*1.5*4*1*1)</f>
        <v>128.745</v>
      </c>
      <c r="R38" s="413">
        <f>(Q38/Q40)</f>
        <v>0.15173872817381978</v>
      </c>
      <c r="S38" s="414"/>
      <c r="T38" s="414"/>
      <c r="U38" s="415"/>
      <c r="V38" s="70">
        <v>3</v>
      </c>
      <c r="W38" s="65"/>
      <c r="X38" s="71">
        <f>V38/Q110</f>
        <v>0.95454545454545459</v>
      </c>
      <c r="Y38" s="26"/>
      <c r="Z38" s="26"/>
    </row>
    <row r="39" spans="1:26" ht="12.75" customHeight="1" thickBot="1">
      <c r="A39" s="1"/>
      <c r="B39" s="1"/>
      <c r="C39" s="1"/>
      <c r="D39" s="104" t="s">
        <v>138</v>
      </c>
      <c r="E39" s="1"/>
      <c r="F39" s="6" t="s">
        <v>139</v>
      </c>
      <c r="G39" s="1"/>
      <c r="H39" s="7" t="s">
        <v>34</v>
      </c>
      <c r="I39" s="1"/>
      <c r="J39" s="7">
        <v>50</v>
      </c>
      <c r="K39" s="1"/>
      <c r="L39" s="7">
        <v>24</v>
      </c>
      <c r="M39" s="1"/>
      <c r="N39" s="7">
        <v>151</v>
      </c>
      <c r="O39" s="1"/>
      <c r="P39" s="51">
        <v>12</v>
      </c>
      <c r="Q39" s="29">
        <f>(((P39)*(1+0.1325)+(((L39)-(P39))/4))*2*4*1*1)</f>
        <v>132.72</v>
      </c>
      <c r="R39" s="413">
        <f>(Q39/Q40)</f>
        <v>0.15642365919631335</v>
      </c>
      <c r="S39" s="414"/>
      <c r="T39" s="414"/>
      <c r="U39" s="415"/>
      <c r="V39" s="70">
        <v>4</v>
      </c>
      <c r="W39" s="65"/>
      <c r="X39" s="71">
        <f>V39/Q110</f>
        <v>1.2727272727272727</v>
      </c>
    </row>
    <row r="40" spans="1:26" ht="14.1" customHeight="1" thickBot="1">
      <c r="A40" s="1"/>
      <c r="B40" s="1"/>
      <c r="C40" s="1"/>
      <c r="D40" s="313" t="s">
        <v>330</v>
      </c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60">
        <f>SUM(Q35:Q39)</f>
        <v>848.46500000000003</v>
      </c>
      <c r="R40" s="358">
        <f>SUM(R35:U39)</f>
        <v>1</v>
      </c>
      <c r="S40" s="359"/>
      <c r="T40" s="359"/>
      <c r="U40" s="422"/>
      <c r="V40" s="392"/>
      <c r="W40" s="393"/>
      <c r="X40" s="394"/>
    </row>
    <row r="41" spans="1:26" ht="12.75" customHeight="1" thickBot="1">
      <c r="A41" s="1"/>
      <c r="B41" s="1"/>
      <c r="C41" s="1"/>
      <c r="D41" s="301" t="s">
        <v>331</v>
      </c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60">
        <f>(Q40+Q93+Q91+Q92)</f>
        <v>942.46500000000003</v>
      </c>
      <c r="R41" s="377">
        <f>((Q41)/Q109)</f>
        <v>0.1828917393029344</v>
      </c>
      <c r="S41" s="378"/>
      <c r="T41" s="378"/>
      <c r="U41" s="379"/>
      <c r="V41" s="401"/>
      <c r="W41" s="402"/>
      <c r="X41" s="403"/>
    </row>
    <row r="42" spans="1:26" ht="13.5" customHeight="1" thickBot="1">
      <c r="A42" s="1"/>
      <c r="B42" s="1"/>
      <c r="C42" s="1"/>
      <c r="D42" s="342" t="s">
        <v>332</v>
      </c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4"/>
      <c r="Q42" s="49">
        <f>SUM(X35:X39)/3</f>
        <v>1.9090909090909092</v>
      </c>
      <c r="R42" s="309" t="s">
        <v>221</v>
      </c>
      <c r="S42" s="310"/>
      <c r="T42" s="310"/>
      <c r="U42" s="310"/>
      <c r="V42" s="162" t="s">
        <v>222</v>
      </c>
      <c r="W42" s="162" t="s">
        <v>223</v>
      </c>
      <c r="X42" s="163" t="s">
        <v>224</v>
      </c>
    </row>
    <row r="43" spans="1:26" ht="13.5" customHeight="1" thickBot="1">
      <c r="A43" s="1"/>
      <c r="B43" s="1"/>
      <c r="C43" s="1"/>
      <c r="D43" s="355" t="s">
        <v>333</v>
      </c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7"/>
      <c r="Q43" s="59">
        <f>Q41/SUM(R43:X43)</f>
        <v>7.8083264291632144</v>
      </c>
      <c r="R43" s="311">
        <f>(68+3)*1.7</f>
        <v>120.7</v>
      </c>
      <c r="S43" s="312"/>
      <c r="T43" s="312"/>
      <c r="U43" s="312"/>
      <c r="V43" s="164">
        <f>0*1</f>
        <v>0</v>
      </c>
      <c r="W43" s="164">
        <f>0*0.58</f>
        <v>0</v>
      </c>
      <c r="X43" s="79">
        <f>0*1</f>
        <v>0</v>
      </c>
    </row>
    <row r="44" spans="1:26" ht="13.5" customHeight="1" thickBot="1">
      <c r="A44" s="1"/>
      <c r="B44" s="1"/>
      <c r="C44" s="1"/>
      <c r="D44" s="372" t="s">
        <v>334</v>
      </c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4"/>
      <c r="Q44" s="59">
        <f>Q43/Q112</f>
        <v>0.45445207316239061</v>
      </c>
      <c r="R44" s="348"/>
      <c r="S44" s="349"/>
      <c r="T44" s="349"/>
      <c r="U44" s="349"/>
      <c r="V44" s="349"/>
      <c r="W44" s="349"/>
      <c r="X44" s="349"/>
    </row>
    <row r="45" spans="1:26" ht="13.5" customHeight="1" thickBot="1">
      <c r="A45" s="1"/>
      <c r="B45" s="1"/>
      <c r="C45" s="1"/>
      <c r="D45" s="345" t="s">
        <v>335</v>
      </c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7"/>
      <c r="Q45" s="170">
        <f>Q42+Q44+Q100</f>
        <v>3.3635429822532998</v>
      </c>
      <c r="R45" s="348"/>
      <c r="S45" s="349"/>
      <c r="T45" s="349"/>
      <c r="U45" s="349"/>
      <c r="V45" s="349"/>
      <c r="W45" s="349"/>
      <c r="X45" s="349"/>
    </row>
    <row r="46" spans="1:26" ht="12.75" customHeight="1" thickBot="1">
      <c r="A46" s="1"/>
      <c r="B46" s="1"/>
      <c r="C46" s="1"/>
      <c r="D46" s="316" t="s">
        <v>336</v>
      </c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8"/>
      <c r="Q46" s="173">
        <f>Q41/Q109</f>
        <v>0.1828917393029344</v>
      </c>
      <c r="R46" s="165"/>
      <c r="S46" s="165"/>
      <c r="T46" s="165"/>
      <c r="U46" s="165"/>
      <c r="V46" s="165"/>
      <c r="W46" s="165"/>
      <c r="X46" s="165"/>
    </row>
    <row r="47" spans="1:26" ht="14.25" customHeight="1" thickBot="1">
      <c r="A47" s="1"/>
      <c r="B47" s="1"/>
      <c r="C47" s="1"/>
      <c r="D47" s="303" t="s">
        <v>337</v>
      </c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5"/>
      <c r="Q47" s="173">
        <f>Q45/Q113</f>
        <v>0.22930488895999929</v>
      </c>
      <c r="R47" s="165"/>
      <c r="S47" s="165"/>
      <c r="T47" s="165"/>
      <c r="U47" s="165"/>
      <c r="V47" s="165"/>
      <c r="W47" s="165"/>
      <c r="X47" s="165"/>
    </row>
    <row r="48" spans="1:26" ht="14.25" customHeight="1" thickBot="1">
      <c r="A48" s="1"/>
      <c r="B48" s="1"/>
      <c r="C48" s="1"/>
      <c r="D48" s="298" t="s">
        <v>338</v>
      </c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300"/>
      <c r="Q48" s="174">
        <f>((Q46*0.8)+(Q47*0.2))</f>
        <v>0.19217436923434739</v>
      </c>
      <c r="R48" s="165"/>
      <c r="S48" s="165"/>
      <c r="T48" s="165"/>
      <c r="U48" s="165"/>
      <c r="V48" s="165"/>
      <c r="W48" s="165"/>
      <c r="X48" s="165"/>
    </row>
    <row r="49" spans="1:24" ht="15.75" customHeight="1" thickBot="1">
      <c r="A49" s="1"/>
      <c r="B49" s="1"/>
      <c r="C49" s="1"/>
      <c r="D49" s="443" t="s">
        <v>208</v>
      </c>
      <c r="E49" s="444"/>
      <c r="F49" s="444"/>
      <c r="G49" s="136"/>
      <c r="H49" s="137"/>
      <c r="I49" s="136"/>
      <c r="J49" s="137"/>
      <c r="K49" s="136"/>
      <c r="L49" s="137"/>
      <c r="M49" s="136"/>
      <c r="N49" s="137"/>
      <c r="O49" s="136"/>
      <c r="P49" s="137"/>
      <c r="Q49" s="138"/>
      <c r="R49" s="138"/>
      <c r="S49" s="138"/>
      <c r="T49" s="138"/>
      <c r="U49" s="138"/>
      <c r="V49" s="139"/>
      <c r="W49" s="140"/>
      <c r="X49" s="141"/>
    </row>
    <row r="50" spans="1:24" ht="14.25" customHeight="1" thickBot="1">
      <c r="A50" s="1"/>
      <c r="B50" s="1"/>
      <c r="C50" s="1"/>
      <c r="D50" s="153" t="s">
        <v>93</v>
      </c>
      <c r="E50" s="19"/>
      <c r="F50" s="154" t="s">
        <v>94</v>
      </c>
      <c r="G50" s="19"/>
      <c r="H50" s="155" t="s">
        <v>34</v>
      </c>
      <c r="I50" s="19"/>
      <c r="J50" s="155">
        <v>50</v>
      </c>
      <c r="K50" s="19"/>
      <c r="L50" s="155">
        <v>17</v>
      </c>
      <c r="M50" s="19"/>
      <c r="N50" s="155">
        <v>93</v>
      </c>
      <c r="O50" s="19"/>
      <c r="P50" s="156">
        <v>0</v>
      </c>
      <c r="Q50" s="157">
        <f>((N50)*1*1*1)</f>
        <v>93</v>
      </c>
      <c r="R50" s="429">
        <f>(Q50/Q61)</f>
        <v>9.519422693075387E-2</v>
      </c>
      <c r="S50" s="430"/>
      <c r="T50" s="430"/>
      <c r="U50" s="431"/>
      <c r="V50" s="92">
        <v>3</v>
      </c>
      <c r="W50" s="93">
        <v>0</v>
      </c>
      <c r="X50" s="91">
        <f>V50/Q110</f>
        <v>0.95454545454545459</v>
      </c>
    </row>
    <row r="51" spans="1:24" ht="15.75" customHeight="1" thickBot="1">
      <c r="A51" s="1"/>
      <c r="B51" s="1"/>
      <c r="C51" s="1"/>
      <c r="D51" s="100" t="s">
        <v>95</v>
      </c>
      <c r="E51" s="1"/>
      <c r="F51" s="6" t="s">
        <v>96</v>
      </c>
      <c r="G51" s="1"/>
      <c r="H51" s="7" t="s">
        <v>34</v>
      </c>
      <c r="I51" s="1"/>
      <c r="J51" s="7">
        <v>0</v>
      </c>
      <c r="K51" s="1"/>
      <c r="L51" s="7">
        <v>0</v>
      </c>
      <c r="M51" s="1"/>
      <c r="N51" s="7">
        <v>12</v>
      </c>
      <c r="O51" s="1"/>
      <c r="P51" s="51">
        <v>0</v>
      </c>
      <c r="Q51" s="149">
        <f>((N51)*1.5*1*1)</f>
        <v>18</v>
      </c>
      <c r="R51" s="429">
        <f>(Q51/Q61)</f>
        <v>1.8424689083371717E-2</v>
      </c>
      <c r="S51" s="430"/>
      <c r="T51" s="430"/>
      <c r="U51" s="431"/>
      <c r="V51" s="150">
        <v>3</v>
      </c>
      <c r="W51" s="65">
        <v>0</v>
      </c>
      <c r="X51" s="71">
        <f>V51/Q110</f>
        <v>0.95454545454545459</v>
      </c>
    </row>
    <row r="52" spans="1:24" ht="12" customHeight="1" thickBot="1">
      <c r="A52" s="1"/>
      <c r="B52" s="1"/>
      <c r="C52" s="1"/>
      <c r="D52" s="100" t="s">
        <v>104</v>
      </c>
      <c r="E52" s="1"/>
      <c r="F52" s="6" t="s">
        <v>212</v>
      </c>
      <c r="G52" s="1"/>
      <c r="H52" s="7" t="s">
        <v>16</v>
      </c>
      <c r="I52" s="1"/>
      <c r="J52" s="7">
        <v>45</v>
      </c>
      <c r="K52" s="1"/>
      <c r="L52" s="7">
        <v>45</v>
      </c>
      <c r="M52" s="1"/>
      <c r="N52" s="7">
        <v>148</v>
      </c>
      <c r="O52" s="1"/>
      <c r="P52" s="51">
        <v>3</v>
      </c>
      <c r="Q52" s="149">
        <f>((N52)*1*1.15*1)</f>
        <v>170.2</v>
      </c>
      <c r="R52" s="429">
        <f>(Q52/Q61)</f>
        <v>0.17421567122165924</v>
      </c>
      <c r="S52" s="430"/>
      <c r="T52" s="430"/>
      <c r="U52" s="431"/>
      <c r="V52" s="150">
        <v>2</v>
      </c>
      <c r="W52" s="65"/>
      <c r="X52" s="71">
        <f>V52/Q110</f>
        <v>0.63636363636363635</v>
      </c>
    </row>
    <row r="53" spans="1:24" ht="12.75" customHeight="1" thickBot="1">
      <c r="A53" s="1"/>
      <c r="B53" s="1"/>
      <c r="C53" s="1"/>
      <c r="D53" s="100" t="s">
        <v>114</v>
      </c>
      <c r="E53" s="1"/>
      <c r="F53" s="6" t="s">
        <v>115</v>
      </c>
      <c r="G53" s="1"/>
      <c r="H53" s="7" t="s">
        <v>16</v>
      </c>
      <c r="I53" s="1"/>
      <c r="J53" s="7">
        <v>50</v>
      </c>
      <c r="K53" s="1"/>
      <c r="L53" s="7">
        <v>33</v>
      </c>
      <c r="M53" s="1"/>
      <c r="N53" s="7">
        <v>111</v>
      </c>
      <c r="O53" s="1"/>
      <c r="P53" s="51">
        <v>0</v>
      </c>
      <c r="Q53" s="149">
        <f>((N53)*1*1.15*1)</f>
        <v>127.64999999999999</v>
      </c>
      <c r="R53" s="429">
        <f>(Q53/Q61)</f>
        <v>0.13066175341624442</v>
      </c>
      <c r="S53" s="430"/>
      <c r="T53" s="430"/>
      <c r="U53" s="431"/>
      <c r="V53" s="150">
        <v>4</v>
      </c>
      <c r="W53" s="65" t="s">
        <v>189</v>
      </c>
      <c r="X53" s="71">
        <f>V53/Q110</f>
        <v>1.2727272727272727</v>
      </c>
    </row>
    <row r="54" spans="1:24" ht="13.5" customHeight="1" thickBot="1">
      <c r="A54" s="1"/>
      <c r="B54" s="1"/>
      <c r="C54" s="1"/>
      <c r="D54" s="100" t="s">
        <v>120</v>
      </c>
      <c r="E54" s="1"/>
      <c r="F54" s="6" t="s">
        <v>64</v>
      </c>
      <c r="G54" s="1"/>
      <c r="H54" s="7" t="s">
        <v>14</v>
      </c>
      <c r="I54" s="1"/>
      <c r="J54" s="7">
        <v>50</v>
      </c>
      <c r="K54" s="1"/>
      <c r="L54" s="7">
        <v>51</v>
      </c>
      <c r="M54" s="1"/>
      <c r="N54" s="7">
        <v>163</v>
      </c>
      <c r="O54" s="1"/>
      <c r="P54" s="51">
        <v>18</v>
      </c>
      <c r="Q54" s="149">
        <f>(((P54)*(1+0.1)+(((L54)-(P54))/4))*1*4*1*1)</f>
        <v>112.2</v>
      </c>
      <c r="R54" s="429">
        <f>(Q54/Q61)</f>
        <v>0.1148472286196837</v>
      </c>
      <c r="S54" s="430"/>
      <c r="T54" s="430"/>
      <c r="U54" s="431"/>
      <c r="V54" s="150">
        <v>2</v>
      </c>
      <c r="W54" s="65"/>
      <c r="X54" s="71">
        <f>V54/Q110</f>
        <v>0.63636363636363635</v>
      </c>
    </row>
    <row r="55" spans="1:24" ht="12" customHeight="1" thickBot="1">
      <c r="A55" s="1"/>
      <c r="B55" s="1"/>
      <c r="C55" s="1"/>
      <c r="D55" s="100" t="s">
        <v>123</v>
      </c>
      <c r="E55" s="1"/>
      <c r="F55" s="6" t="s">
        <v>124</v>
      </c>
      <c r="G55" s="1"/>
      <c r="H55" s="7" t="s">
        <v>14</v>
      </c>
      <c r="I55" s="1"/>
      <c r="J55" s="7">
        <v>25</v>
      </c>
      <c r="K55" s="1"/>
      <c r="L55" s="7">
        <v>26</v>
      </c>
      <c r="M55" s="1"/>
      <c r="N55" s="7">
        <v>82</v>
      </c>
      <c r="O55" s="1"/>
      <c r="P55" s="51">
        <v>9</v>
      </c>
      <c r="Q55" s="149">
        <f>(((P55)*(1+0.115)+(((L55)-(P55))/4))*1*4*1*1)</f>
        <v>57.14</v>
      </c>
      <c r="R55" s="429">
        <f>(Q55/Q61)</f>
        <v>5.8488151901325551E-2</v>
      </c>
      <c r="S55" s="430"/>
      <c r="T55" s="430"/>
      <c r="U55" s="431"/>
      <c r="V55" s="150">
        <v>3</v>
      </c>
      <c r="W55" s="65">
        <v>0</v>
      </c>
      <c r="X55" s="71">
        <f>V55/Q110</f>
        <v>0.95454545454545459</v>
      </c>
    </row>
    <row r="56" spans="1:24" ht="14.25" customHeight="1" thickBot="1">
      <c r="A56" s="1"/>
      <c r="B56" s="1"/>
      <c r="C56" s="1"/>
      <c r="D56" s="100" t="s">
        <v>125</v>
      </c>
      <c r="E56" s="1"/>
      <c r="F56" s="6" t="s">
        <v>126</v>
      </c>
      <c r="G56" s="1"/>
      <c r="H56" s="7" t="s">
        <v>14</v>
      </c>
      <c r="I56" s="1"/>
      <c r="J56" s="7">
        <v>25</v>
      </c>
      <c r="K56" s="1"/>
      <c r="L56" s="7">
        <v>25</v>
      </c>
      <c r="M56" s="1"/>
      <c r="N56" s="7">
        <v>86</v>
      </c>
      <c r="O56" s="1"/>
      <c r="P56" s="51">
        <v>4</v>
      </c>
      <c r="Q56" s="149">
        <f>(((P56)*(1+0.115)+(((L56)-(P56))/4))*1*4*1*1)</f>
        <v>38.840000000000003</v>
      </c>
      <c r="R56" s="429">
        <f>(Q56/Q61)</f>
        <v>3.9756384666564309E-2</v>
      </c>
      <c r="S56" s="430"/>
      <c r="T56" s="430"/>
      <c r="U56" s="431"/>
      <c r="V56" s="150">
        <v>3</v>
      </c>
      <c r="W56" s="65">
        <v>0</v>
      </c>
      <c r="X56" s="71">
        <f>V56/Q110</f>
        <v>0.95454545454545459</v>
      </c>
    </row>
    <row r="57" spans="1:24" ht="15" customHeight="1" thickBot="1">
      <c r="A57" s="1"/>
      <c r="B57" s="1"/>
      <c r="C57" s="1"/>
      <c r="D57" s="100" t="s">
        <v>127</v>
      </c>
      <c r="E57" s="1"/>
      <c r="F57" s="6" t="s">
        <v>128</v>
      </c>
      <c r="G57" s="1"/>
      <c r="H57" s="7" t="s">
        <v>14</v>
      </c>
      <c r="I57" s="1"/>
      <c r="J57" s="7">
        <v>50</v>
      </c>
      <c r="K57" s="1"/>
      <c r="L57" s="7">
        <v>53</v>
      </c>
      <c r="M57" s="1"/>
      <c r="N57" s="7">
        <v>174</v>
      </c>
      <c r="O57" s="1"/>
      <c r="P57" s="51">
        <v>22</v>
      </c>
      <c r="Q57" s="149">
        <f>(((P57)*(1+0.115)+(((L57)-(P57))/4))*1*4*1*1)</f>
        <v>129.12</v>
      </c>
      <c r="R57" s="429">
        <f>(Q57/Q61)</f>
        <v>0.13216643635805311</v>
      </c>
      <c r="S57" s="430"/>
      <c r="T57" s="430"/>
      <c r="U57" s="431"/>
      <c r="V57" s="150">
        <v>4</v>
      </c>
      <c r="W57" s="65"/>
      <c r="X57" s="71">
        <f>V57/Q110</f>
        <v>1.2727272727272727</v>
      </c>
    </row>
    <row r="58" spans="1:24" ht="13.5" customHeight="1" thickBot="1">
      <c r="A58" s="1"/>
      <c r="B58" s="1"/>
      <c r="C58" s="1"/>
      <c r="D58" s="100" t="s">
        <v>133</v>
      </c>
      <c r="E58" s="1"/>
      <c r="F58" s="6" t="s">
        <v>134</v>
      </c>
      <c r="G58" s="1"/>
      <c r="H58" s="7" t="s">
        <v>34</v>
      </c>
      <c r="I58" s="1"/>
      <c r="J58" s="7">
        <v>0</v>
      </c>
      <c r="K58" s="1"/>
      <c r="L58" s="7">
        <v>0</v>
      </c>
      <c r="M58" s="1"/>
      <c r="N58" s="7">
        <v>34</v>
      </c>
      <c r="O58" s="1"/>
      <c r="P58" s="51">
        <v>0</v>
      </c>
      <c r="Q58" s="149">
        <f>((N58)*1.5*1*1)</f>
        <v>51</v>
      </c>
      <c r="R58" s="429">
        <f>(Q58/Q61)</f>
        <v>5.2203285736219865E-2</v>
      </c>
      <c r="S58" s="430"/>
      <c r="T58" s="430"/>
      <c r="U58" s="431"/>
      <c r="V58" s="150">
        <v>3</v>
      </c>
      <c r="W58" s="65">
        <v>0</v>
      </c>
      <c r="X58" s="71">
        <f>V58/Q110</f>
        <v>0.95454545454545459</v>
      </c>
    </row>
    <row r="59" spans="1:24" ht="12.75" customHeight="1" thickBot="1">
      <c r="A59" s="1"/>
      <c r="B59" s="1"/>
      <c r="C59" s="1"/>
      <c r="D59" s="100" t="s">
        <v>135</v>
      </c>
      <c r="E59" s="1"/>
      <c r="F59" s="6" t="s">
        <v>89</v>
      </c>
      <c r="G59" s="1"/>
      <c r="H59" s="7" t="s">
        <v>34</v>
      </c>
      <c r="I59" s="1"/>
      <c r="J59" s="7">
        <v>45</v>
      </c>
      <c r="K59" s="1"/>
      <c r="L59" s="7">
        <v>47</v>
      </c>
      <c r="M59" s="1"/>
      <c r="N59" s="7">
        <v>197</v>
      </c>
      <c r="O59" s="1"/>
      <c r="P59" s="51">
        <v>32</v>
      </c>
      <c r="Q59" s="149">
        <f>(((P59)*(1+0.1)+(((L59)-(P59))/4))*1*4*1*1)</f>
        <v>155.80000000000001</v>
      </c>
      <c r="R59" s="429">
        <f>(Q59/Q61)</f>
        <v>0.15947591995496188</v>
      </c>
      <c r="S59" s="430"/>
      <c r="T59" s="430"/>
      <c r="U59" s="431"/>
      <c r="V59" s="150">
        <v>5</v>
      </c>
      <c r="W59" s="65"/>
      <c r="X59" s="71">
        <f>V59/Q110</f>
        <v>1.5909090909090911</v>
      </c>
    </row>
    <row r="60" spans="1:24" ht="11.25" customHeight="1" thickBot="1">
      <c r="A60" s="1"/>
      <c r="B60" s="1"/>
      <c r="C60" s="1"/>
      <c r="D60" s="101" t="s">
        <v>140</v>
      </c>
      <c r="E60" s="53"/>
      <c r="F60" s="54" t="s">
        <v>141</v>
      </c>
      <c r="G60" s="53"/>
      <c r="H60" s="55" t="s">
        <v>34</v>
      </c>
      <c r="I60" s="53"/>
      <c r="J60" s="55">
        <v>0</v>
      </c>
      <c r="K60" s="53"/>
      <c r="L60" s="55">
        <v>0</v>
      </c>
      <c r="M60" s="53"/>
      <c r="N60" s="55">
        <v>16</v>
      </c>
      <c r="O60" s="53"/>
      <c r="P60" s="56">
        <v>0</v>
      </c>
      <c r="Q60" s="151">
        <f>((N60)*1.5*1*1)</f>
        <v>24</v>
      </c>
      <c r="R60" s="429">
        <f>(Q60/Q61)</f>
        <v>2.4566252111162288E-2</v>
      </c>
      <c r="S60" s="430"/>
      <c r="T60" s="430"/>
      <c r="U60" s="431"/>
      <c r="V60" s="152">
        <v>3</v>
      </c>
      <c r="W60" s="78">
        <v>0</v>
      </c>
      <c r="X60" s="79">
        <f>V60/Q110</f>
        <v>0.95454545454545459</v>
      </c>
    </row>
    <row r="61" spans="1:24" ht="14.1" customHeight="1" thickBot="1">
      <c r="A61" s="1"/>
      <c r="B61" s="1"/>
      <c r="C61" s="1"/>
      <c r="D61" s="313" t="s">
        <v>339</v>
      </c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60">
        <f>SUM(Q50:Q60)</f>
        <v>976.95</v>
      </c>
      <c r="R61" s="377">
        <f>SUM(R50:U60)</f>
        <v>0.99999999999999989</v>
      </c>
      <c r="S61" s="378"/>
      <c r="T61" s="378"/>
      <c r="U61" s="379"/>
      <c r="V61" s="392"/>
      <c r="W61" s="393"/>
      <c r="X61" s="394"/>
    </row>
    <row r="62" spans="1:24" ht="12.75" customHeight="1" thickBot="1">
      <c r="A62" s="1"/>
      <c r="B62" s="1"/>
      <c r="C62" s="1"/>
      <c r="D62" s="301" t="s">
        <v>340</v>
      </c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60">
        <f>(Q61+Q94+Q95+Q96+Q97)</f>
        <v>1128.95</v>
      </c>
      <c r="R62" s="377">
        <f>Q62/Q109</f>
        <v>0.21908042111489318</v>
      </c>
      <c r="S62" s="378"/>
      <c r="T62" s="378"/>
      <c r="U62" s="379"/>
      <c r="V62" s="401"/>
      <c r="W62" s="402"/>
      <c r="X62" s="403"/>
    </row>
    <row r="63" spans="1:24" ht="13.5" customHeight="1" thickBot="1">
      <c r="A63" s="1"/>
      <c r="B63" s="1"/>
      <c r="C63" s="1"/>
      <c r="D63" s="342" t="s">
        <v>341</v>
      </c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4"/>
      <c r="Q63" s="49">
        <f>SUM(X50:X60)/11</f>
        <v>1.0123966942148763</v>
      </c>
      <c r="R63" s="309" t="s">
        <v>221</v>
      </c>
      <c r="S63" s="310"/>
      <c r="T63" s="310"/>
      <c r="U63" s="310"/>
      <c r="V63" s="162" t="s">
        <v>222</v>
      </c>
      <c r="W63" s="162" t="s">
        <v>223</v>
      </c>
      <c r="X63" s="163" t="s">
        <v>224</v>
      </c>
    </row>
    <row r="64" spans="1:24" ht="13.5" customHeight="1" thickBot="1">
      <c r="A64" s="1"/>
      <c r="B64" s="1"/>
      <c r="C64" s="1"/>
      <c r="D64" s="355" t="s">
        <v>342</v>
      </c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7"/>
      <c r="Q64" s="59">
        <f>Q62/SUM(R64:X64)</f>
        <v>7.551505016722408</v>
      </c>
      <c r="R64" s="311">
        <f>(85)*1.7</f>
        <v>144.5</v>
      </c>
      <c r="S64" s="312"/>
      <c r="T64" s="312"/>
      <c r="U64" s="312"/>
      <c r="V64" s="164">
        <f>1*1</f>
        <v>1</v>
      </c>
      <c r="W64" s="164">
        <f>0*0.58</f>
        <v>0</v>
      </c>
      <c r="X64" s="79">
        <f>4*1</f>
        <v>4</v>
      </c>
    </row>
    <row r="65" spans="1:24" ht="13.5" customHeight="1" thickBot="1">
      <c r="A65" s="1"/>
      <c r="B65" s="1"/>
      <c r="C65" s="1"/>
      <c r="D65" s="372" t="s">
        <v>343</v>
      </c>
      <c r="E65" s="373"/>
      <c r="F65" s="373"/>
      <c r="G65" s="373"/>
      <c r="H65" s="373"/>
      <c r="I65" s="373"/>
      <c r="J65" s="373"/>
      <c r="K65" s="373"/>
      <c r="L65" s="373"/>
      <c r="M65" s="373"/>
      <c r="N65" s="373"/>
      <c r="O65" s="373"/>
      <c r="P65" s="374"/>
      <c r="Q65" s="59">
        <f>Q64/Q112</f>
        <v>0.43950482110075706</v>
      </c>
      <c r="R65" s="348"/>
      <c r="S65" s="349"/>
      <c r="T65" s="349"/>
      <c r="U65" s="349"/>
      <c r="V65" s="349"/>
      <c r="W65" s="349"/>
      <c r="X65" s="349"/>
    </row>
    <row r="66" spans="1:24" ht="13.5" customHeight="1" thickBot="1">
      <c r="A66" s="1"/>
      <c r="B66" s="1"/>
      <c r="C66" s="1"/>
      <c r="D66" s="345" t="s">
        <v>344</v>
      </c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46"/>
      <c r="P66" s="347"/>
      <c r="Q66" s="170">
        <f>Q63+Q65+Q84</f>
        <v>1.4519015153156334</v>
      </c>
      <c r="R66" s="348"/>
      <c r="S66" s="349"/>
      <c r="T66" s="349"/>
      <c r="U66" s="349"/>
      <c r="V66" s="349"/>
      <c r="W66" s="349"/>
      <c r="X66" s="349"/>
    </row>
    <row r="67" spans="1:24" ht="12.75" customHeight="1" thickBot="1">
      <c r="A67" s="1"/>
      <c r="B67" s="1"/>
      <c r="C67" s="1"/>
      <c r="D67" s="316" t="s">
        <v>345</v>
      </c>
      <c r="E67" s="317"/>
      <c r="F67" s="317"/>
      <c r="G67" s="317"/>
      <c r="H67" s="317"/>
      <c r="I67" s="317"/>
      <c r="J67" s="317"/>
      <c r="K67" s="317"/>
      <c r="L67" s="317"/>
      <c r="M67" s="317"/>
      <c r="N67" s="317"/>
      <c r="O67" s="317"/>
      <c r="P67" s="318"/>
      <c r="Q67" s="173">
        <f>Q62/Q109</f>
        <v>0.21908042111489318</v>
      </c>
      <c r="R67" s="165"/>
      <c r="S67" s="165"/>
      <c r="T67" s="165"/>
      <c r="U67" s="165"/>
      <c r="V67" s="165"/>
      <c r="W67" s="165"/>
      <c r="X67" s="165"/>
    </row>
    <row r="68" spans="1:24" ht="14.25" customHeight="1" thickBot="1">
      <c r="A68" s="1"/>
      <c r="B68" s="1"/>
      <c r="C68" s="1"/>
      <c r="D68" s="303" t="s">
        <v>346</v>
      </c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5"/>
      <c r="Q68" s="173">
        <f>Q66/Q113</f>
        <v>9.8981376931080958E-2</v>
      </c>
      <c r="R68" s="165"/>
      <c r="S68" s="165"/>
      <c r="T68" s="165"/>
      <c r="U68" s="165"/>
      <c r="V68" s="165"/>
      <c r="W68" s="165"/>
      <c r="X68" s="165"/>
    </row>
    <row r="69" spans="1:24" ht="14.25" customHeight="1" thickBot="1">
      <c r="A69" s="1"/>
      <c r="B69" s="1"/>
      <c r="C69" s="1"/>
      <c r="D69" s="298" t="s">
        <v>347</v>
      </c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300"/>
      <c r="Q69" s="174">
        <f>((Q67*0.8)+(Q68*0.2))</f>
        <v>0.19506061227813076</v>
      </c>
      <c r="R69" s="165"/>
      <c r="S69" s="165"/>
      <c r="T69" s="165"/>
      <c r="U69" s="165"/>
      <c r="V69" s="165"/>
      <c r="W69" s="165"/>
      <c r="X69" s="165"/>
    </row>
    <row r="70" spans="1:24" ht="14.25" customHeight="1" thickBot="1">
      <c r="A70" s="1"/>
      <c r="B70" s="1"/>
      <c r="C70" s="1"/>
      <c r="D70" s="445" t="s">
        <v>209</v>
      </c>
      <c r="E70" s="446"/>
      <c r="F70" s="446"/>
      <c r="G70" s="142"/>
      <c r="H70" s="143"/>
      <c r="I70" s="142"/>
      <c r="J70" s="143"/>
      <c r="K70" s="142"/>
      <c r="L70" s="143"/>
      <c r="M70" s="142"/>
      <c r="N70" s="143"/>
      <c r="O70" s="142"/>
      <c r="P70" s="143"/>
      <c r="Q70" s="144"/>
      <c r="R70" s="144"/>
      <c r="S70" s="144"/>
      <c r="T70" s="144"/>
      <c r="U70" s="144"/>
      <c r="V70" s="145"/>
      <c r="W70" s="146"/>
      <c r="X70" s="147"/>
    </row>
    <row r="71" spans="1:24" ht="15" customHeight="1">
      <c r="A71" s="1"/>
      <c r="B71" s="1"/>
      <c r="C71" s="1"/>
      <c r="D71" s="103" t="s">
        <v>107</v>
      </c>
      <c r="E71" s="1"/>
      <c r="F71" s="6" t="s">
        <v>108</v>
      </c>
      <c r="G71" s="1"/>
      <c r="H71" s="7" t="s">
        <v>34</v>
      </c>
      <c r="I71" s="1"/>
      <c r="J71" s="7">
        <v>36</v>
      </c>
      <c r="K71" s="1"/>
      <c r="L71" s="7">
        <v>44</v>
      </c>
      <c r="M71" s="1"/>
      <c r="N71" s="7">
        <v>195</v>
      </c>
      <c r="O71" s="1"/>
      <c r="P71" s="51">
        <v>21</v>
      </c>
      <c r="Q71" s="40">
        <f>(((P71)*(1+0.066)+(((L71)-(P71))/4))*1.5*5*1*1)</f>
        <v>211.02000000000004</v>
      </c>
      <c r="R71" s="413">
        <f>(Q71/Q75)</f>
        <v>0.13655733408400397</v>
      </c>
      <c r="S71" s="414"/>
      <c r="T71" s="414"/>
      <c r="U71" s="415"/>
      <c r="V71" s="70">
        <v>3</v>
      </c>
      <c r="W71" s="65"/>
      <c r="X71" s="71">
        <f>V71/Q110</f>
        <v>0.95454545454545459</v>
      </c>
    </row>
    <row r="72" spans="1:24" ht="12.75" customHeight="1">
      <c r="A72" s="1"/>
      <c r="B72" s="1"/>
      <c r="C72" s="1"/>
      <c r="D72" s="103" t="s">
        <v>109</v>
      </c>
      <c r="E72" s="1"/>
      <c r="F72" s="6" t="s">
        <v>213</v>
      </c>
      <c r="G72" s="1"/>
      <c r="H72" s="7" t="s">
        <v>25</v>
      </c>
      <c r="I72" s="1"/>
      <c r="J72" s="7">
        <v>30</v>
      </c>
      <c r="K72" s="1"/>
      <c r="L72" s="7">
        <v>26</v>
      </c>
      <c r="M72" s="1"/>
      <c r="N72" s="7">
        <v>145</v>
      </c>
      <c r="O72" s="1"/>
      <c r="P72" s="51">
        <v>30</v>
      </c>
      <c r="Q72" s="29">
        <f>(((P72)*(1+0.066)+(((L72)-(P72))/4))*1.5*5*1*1)</f>
        <v>232.35</v>
      </c>
      <c r="R72" s="389">
        <f>(Q72/Q75)</f>
        <v>0.15036061309078907</v>
      </c>
      <c r="S72" s="390"/>
      <c r="T72" s="390"/>
      <c r="U72" s="391"/>
      <c r="V72" s="70">
        <v>4</v>
      </c>
      <c r="W72" s="65"/>
      <c r="X72" s="71">
        <f>V72/Q110</f>
        <v>1.2727272727272727</v>
      </c>
    </row>
    <row r="73" spans="1:24" ht="12" customHeight="1">
      <c r="A73" s="1"/>
      <c r="B73" s="1"/>
      <c r="C73" s="1"/>
      <c r="D73" s="103" t="s">
        <v>131</v>
      </c>
      <c r="E73" s="1"/>
      <c r="F73" s="6" t="s">
        <v>132</v>
      </c>
      <c r="G73" s="1"/>
      <c r="H73" s="7" t="s">
        <v>25</v>
      </c>
      <c r="I73" s="1"/>
      <c r="J73" s="7">
        <v>40</v>
      </c>
      <c r="K73" s="1"/>
      <c r="L73" s="7">
        <v>34</v>
      </c>
      <c r="M73" s="1"/>
      <c r="N73" s="7">
        <v>268</v>
      </c>
      <c r="O73" s="1"/>
      <c r="P73" s="51">
        <v>33</v>
      </c>
      <c r="Q73" s="29">
        <f>(((P73)*(1+0.065)+(((L73)-(P73))/4))*4.5*6*1*1)</f>
        <v>955.66499999999985</v>
      </c>
      <c r="R73" s="389">
        <f>(Q73/Q75)</f>
        <v>0.61843931701919064</v>
      </c>
      <c r="S73" s="390"/>
      <c r="T73" s="390"/>
      <c r="U73" s="391"/>
      <c r="V73" s="70">
        <v>3</v>
      </c>
      <c r="W73" s="65"/>
      <c r="X73" s="71">
        <f>V73/Q110</f>
        <v>0.95454545454545459</v>
      </c>
    </row>
    <row r="74" spans="1:24" ht="12.75" customHeight="1" thickBot="1">
      <c r="A74" s="1"/>
      <c r="B74" s="1"/>
      <c r="C74" s="1"/>
      <c r="D74" s="103" t="s">
        <v>136</v>
      </c>
      <c r="E74" s="1"/>
      <c r="F74" s="6" t="s">
        <v>137</v>
      </c>
      <c r="G74" s="1"/>
      <c r="H74" s="7" t="s">
        <v>25</v>
      </c>
      <c r="I74" s="1"/>
      <c r="J74" s="7">
        <v>30</v>
      </c>
      <c r="K74" s="1"/>
      <c r="L74" s="7">
        <v>32</v>
      </c>
      <c r="M74" s="1"/>
      <c r="N74" s="7">
        <v>162</v>
      </c>
      <c r="O74" s="1"/>
      <c r="P74" s="51">
        <v>25</v>
      </c>
      <c r="Q74" s="41">
        <f>(((P74)*(1+0.1)+(((L74)-(P74))/4))*1*5*1*1)</f>
        <v>146.25000000000003</v>
      </c>
      <c r="R74" s="322">
        <f>(Q74/Q75)</f>
        <v>9.4642735806016398E-2</v>
      </c>
      <c r="S74" s="323"/>
      <c r="T74" s="323"/>
      <c r="U74" s="412"/>
      <c r="V74" s="70">
        <v>3</v>
      </c>
      <c r="W74" s="65"/>
      <c r="X74" s="71">
        <f>V74/Q110</f>
        <v>0.95454545454545459</v>
      </c>
    </row>
    <row r="75" spans="1:24" ht="14.1" customHeight="1" thickBot="1">
      <c r="A75" s="1"/>
      <c r="B75" s="1"/>
      <c r="C75" s="1"/>
      <c r="D75" s="313" t="s">
        <v>348</v>
      </c>
      <c r="E75" s="314"/>
      <c r="F75" s="314"/>
      <c r="G75" s="314"/>
      <c r="H75" s="314"/>
      <c r="I75" s="314"/>
      <c r="J75" s="314"/>
      <c r="K75" s="314"/>
      <c r="L75" s="314"/>
      <c r="M75" s="314"/>
      <c r="N75" s="314"/>
      <c r="O75" s="314"/>
      <c r="P75" s="314"/>
      <c r="Q75" s="60">
        <f>SUM(Q71:Q74)</f>
        <v>1545.2849999999999</v>
      </c>
      <c r="R75" s="358">
        <f>SUM(R71:U74)</f>
        <v>1</v>
      </c>
      <c r="S75" s="359"/>
      <c r="T75" s="359"/>
      <c r="U75" s="422"/>
      <c r="V75" s="392"/>
      <c r="W75" s="393"/>
      <c r="X75" s="394"/>
    </row>
    <row r="76" spans="1:24" ht="12.75" customHeight="1" thickBot="1">
      <c r="A76" s="1"/>
      <c r="B76" s="1"/>
      <c r="C76" s="1"/>
      <c r="D76" s="301" t="s">
        <v>349</v>
      </c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60">
        <f>(Q75+Q98)</f>
        <v>1567.2849999999999</v>
      </c>
      <c r="R76" s="377">
        <f>Q76/Q109</f>
        <v>0.30414230728292246</v>
      </c>
      <c r="S76" s="378"/>
      <c r="T76" s="378"/>
      <c r="U76" s="379"/>
      <c r="V76" s="401"/>
      <c r="W76" s="402"/>
      <c r="X76" s="403"/>
    </row>
    <row r="77" spans="1:24" ht="13.5" customHeight="1" thickBot="1">
      <c r="A77" s="1"/>
      <c r="B77" s="1"/>
      <c r="C77" s="1"/>
      <c r="D77" s="342" t="s">
        <v>350</v>
      </c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4"/>
      <c r="Q77" s="49">
        <f>SUM(X71:X74)/4</f>
        <v>1.0340909090909092</v>
      </c>
      <c r="R77" s="309" t="s">
        <v>221</v>
      </c>
      <c r="S77" s="310"/>
      <c r="T77" s="310"/>
      <c r="U77" s="310"/>
      <c r="V77" s="162" t="s">
        <v>222</v>
      </c>
      <c r="W77" s="162" t="s">
        <v>223</v>
      </c>
      <c r="X77" s="163" t="s">
        <v>224</v>
      </c>
    </row>
    <row r="78" spans="1:24" ht="13.5" customHeight="1" thickBot="1">
      <c r="A78" s="1"/>
      <c r="B78" s="1"/>
      <c r="C78" s="1"/>
      <c r="D78" s="355" t="s">
        <v>351</v>
      </c>
      <c r="E78" s="356"/>
      <c r="F78" s="356"/>
      <c r="G78" s="356"/>
      <c r="H78" s="356"/>
      <c r="I78" s="356"/>
      <c r="J78" s="356"/>
      <c r="K78" s="356"/>
      <c r="L78" s="356"/>
      <c r="M78" s="356"/>
      <c r="N78" s="356"/>
      <c r="O78" s="356"/>
      <c r="P78" s="357"/>
      <c r="Q78" s="59">
        <f>Q76/SUM(R78:X78)</f>
        <v>12.185391074482972</v>
      </c>
      <c r="R78" s="311">
        <f>(61)*1.7</f>
        <v>103.7</v>
      </c>
      <c r="S78" s="312"/>
      <c r="T78" s="312"/>
      <c r="U78" s="312"/>
      <c r="V78" s="164">
        <f>11*1</f>
        <v>11</v>
      </c>
      <c r="W78" s="164">
        <f>24*0.58</f>
        <v>13.919999999999998</v>
      </c>
      <c r="X78" s="79">
        <f>0*1</f>
        <v>0</v>
      </c>
    </row>
    <row r="79" spans="1:24" ht="13.5" customHeight="1" thickBot="1">
      <c r="A79" s="1"/>
      <c r="B79" s="1"/>
      <c r="C79" s="1"/>
      <c r="D79" s="372" t="s">
        <v>352</v>
      </c>
      <c r="E79" s="373"/>
      <c r="F79" s="373"/>
      <c r="G79" s="373"/>
      <c r="H79" s="373"/>
      <c r="I79" s="373"/>
      <c r="J79" s="373"/>
      <c r="K79" s="373"/>
      <c r="L79" s="373"/>
      <c r="M79" s="373"/>
      <c r="N79" s="373"/>
      <c r="O79" s="373"/>
      <c r="P79" s="374"/>
      <c r="Q79" s="59">
        <f>Q78/Q112</f>
        <v>0.70920142572557987</v>
      </c>
      <c r="R79" s="348"/>
      <c r="S79" s="349"/>
      <c r="T79" s="349"/>
      <c r="U79" s="349"/>
      <c r="V79" s="349"/>
      <c r="W79" s="349"/>
      <c r="X79" s="349"/>
    </row>
    <row r="80" spans="1:24" ht="13.5" customHeight="1" thickBot="1">
      <c r="A80" s="1"/>
      <c r="B80" s="1"/>
      <c r="C80" s="1"/>
      <c r="D80" s="345" t="s">
        <v>353</v>
      </c>
      <c r="E80" s="346"/>
      <c r="F80" s="346"/>
      <c r="G80" s="346"/>
      <c r="H80" s="346"/>
      <c r="I80" s="346"/>
      <c r="J80" s="346"/>
      <c r="K80" s="346"/>
      <c r="L80" s="346"/>
      <c r="M80" s="346"/>
      <c r="N80" s="346"/>
      <c r="O80" s="346"/>
      <c r="P80" s="347"/>
      <c r="Q80" s="170">
        <f>Q77+Q79+Q100</f>
        <v>2.7432923348164895</v>
      </c>
      <c r="R80" s="348"/>
      <c r="S80" s="349"/>
      <c r="T80" s="349"/>
      <c r="U80" s="349"/>
      <c r="V80" s="349"/>
      <c r="W80" s="349"/>
      <c r="X80" s="349"/>
    </row>
    <row r="81" spans="1:24" ht="12.75" customHeight="1" thickBot="1">
      <c r="A81" s="1"/>
      <c r="B81" s="1"/>
      <c r="C81" s="1"/>
      <c r="D81" s="316" t="s">
        <v>354</v>
      </c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317"/>
      <c r="P81" s="318"/>
      <c r="Q81" s="173">
        <f>Q76/Q109</f>
        <v>0.30414230728292246</v>
      </c>
      <c r="R81" s="165"/>
      <c r="S81" s="165"/>
      <c r="T81" s="165"/>
      <c r="U81" s="165"/>
      <c r="V81" s="165"/>
      <c r="W81" s="165"/>
      <c r="X81" s="165"/>
    </row>
    <row r="82" spans="1:24" ht="14.25" customHeight="1" thickBot="1">
      <c r="A82" s="1"/>
      <c r="B82" s="1"/>
      <c r="C82" s="1"/>
      <c r="D82" s="303" t="s">
        <v>355</v>
      </c>
      <c r="E82" s="304"/>
      <c r="F82" s="304"/>
      <c r="G82" s="304"/>
      <c r="H82" s="304"/>
      <c r="I82" s="304"/>
      <c r="J82" s="304"/>
      <c r="K82" s="304"/>
      <c r="L82" s="304"/>
      <c r="M82" s="304"/>
      <c r="N82" s="304"/>
      <c r="O82" s="304"/>
      <c r="P82" s="305"/>
      <c r="Q82" s="173">
        <f>Q80/Q113</f>
        <v>0.18702015926031063</v>
      </c>
      <c r="R82" s="165"/>
      <c r="S82" s="165"/>
      <c r="T82" s="165"/>
      <c r="U82" s="165"/>
      <c r="V82" s="165"/>
      <c r="W82" s="165"/>
      <c r="X82" s="165"/>
    </row>
    <row r="83" spans="1:24" ht="14.25" customHeight="1" thickBot="1">
      <c r="A83" s="1"/>
      <c r="B83" s="1"/>
      <c r="C83" s="1"/>
      <c r="D83" s="298" t="s">
        <v>356</v>
      </c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300"/>
      <c r="Q83" s="174">
        <f>((Q81*0.8)+(Q82*0.2))</f>
        <v>0.28071787767840012</v>
      </c>
      <c r="R83" s="165"/>
      <c r="S83" s="165"/>
      <c r="T83" s="165"/>
      <c r="U83" s="165"/>
      <c r="V83" s="165"/>
      <c r="W83" s="165"/>
      <c r="X83" s="165"/>
    </row>
    <row r="84" spans="1:24" ht="13.5" customHeight="1">
      <c r="A84" s="1"/>
      <c r="B84" s="1"/>
      <c r="C84" s="1"/>
      <c r="D84" s="8"/>
      <c r="E84" s="1"/>
      <c r="F84" s="8"/>
      <c r="G84" s="1"/>
      <c r="H84" s="9"/>
      <c r="I84" s="1"/>
      <c r="J84" s="9"/>
      <c r="K84" s="1"/>
      <c r="L84" s="9"/>
      <c r="M84" s="1"/>
      <c r="N84" s="9"/>
      <c r="O84" s="1"/>
      <c r="P84" s="9"/>
      <c r="Q84" s="178"/>
      <c r="R84" s="456"/>
      <c r="S84" s="456"/>
      <c r="T84" s="456"/>
      <c r="U84" s="456"/>
      <c r="V84" s="25"/>
      <c r="W84" s="25"/>
      <c r="X84" s="167"/>
    </row>
    <row r="85" spans="1:24" ht="11.25" customHeight="1">
      <c r="A85" s="1"/>
      <c r="B85" s="1"/>
      <c r="C85" s="1"/>
      <c r="D85" s="8"/>
      <c r="E85" s="1"/>
      <c r="F85" s="8"/>
      <c r="G85" s="1"/>
      <c r="H85" s="9"/>
      <c r="I85" s="1"/>
      <c r="J85" s="9"/>
      <c r="K85" s="1"/>
      <c r="L85" s="9"/>
      <c r="M85" s="1"/>
      <c r="N85" s="9"/>
      <c r="O85" s="1"/>
      <c r="P85" s="9"/>
      <c r="Q85" s="178"/>
      <c r="R85" s="456"/>
      <c r="S85" s="456"/>
      <c r="T85" s="456"/>
      <c r="U85" s="456"/>
      <c r="V85" s="25"/>
      <c r="W85" s="25"/>
      <c r="X85" s="167"/>
    </row>
    <row r="86" spans="1:24" ht="13.5" customHeight="1">
      <c r="A86" s="1"/>
      <c r="B86" s="1"/>
      <c r="C86" s="1"/>
      <c r="D86" s="8"/>
      <c r="E86" s="1"/>
      <c r="F86" s="8"/>
      <c r="G86" s="1"/>
      <c r="H86" s="9"/>
      <c r="I86" s="1"/>
      <c r="J86" s="9"/>
      <c r="K86" s="1"/>
      <c r="L86" s="9"/>
      <c r="M86" s="1"/>
      <c r="N86" s="9"/>
      <c r="O86" s="1"/>
      <c r="P86" s="9"/>
      <c r="Q86" s="178"/>
      <c r="R86" s="456"/>
      <c r="S86" s="456"/>
      <c r="T86" s="456"/>
      <c r="U86" s="456"/>
      <c r="V86" s="25"/>
      <c r="W86" s="25"/>
      <c r="X86" s="167"/>
    </row>
    <row r="87" spans="1:24" ht="13.5" customHeight="1">
      <c r="A87" s="1"/>
      <c r="B87" s="1"/>
      <c r="C87" s="1"/>
      <c r="D87" s="319" t="s">
        <v>142</v>
      </c>
      <c r="E87" s="319"/>
      <c r="F87" s="319"/>
      <c r="G87" s="319"/>
      <c r="H87" s="319"/>
      <c r="I87" s="319"/>
      <c r="J87" s="319"/>
      <c r="K87" s="319"/>
      <c r="L87" s="319"/>
      <c r="M87" s="319"/>
      <c r="N87" s="319"/>
      <c r="O87" s="319"/>
      <c r="P87" s="319"/>
      <c r="Q87" s="319"/>
      <c r="R87" s="319"/>
      <c r="S87" s="319"/>
      <c r="T87" s="319"/>
      <c r="U87" s="1"/>
      <c r="V87" s="315"/>
      <c r="W87" s="315"/>
      <c r="X87" s="315"/>
    </row>
    <row r="88" spans="1:24" ht="13.5" customHeight="1" thickBo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315"/>
      <c r="W88" s="315"/>
      <c r="X88" s="315"/>
    </row>
    <row r="89" spans="1:24" ht="12.75" customHeight="1" thickBot="1">
      <c r="A89" s="1"/>
      <c r="B89" s="1"/>
      <c r="C89" s="1"/>
      <c r="D89" s="18" t="s">
        <v>5</v>
      </c>
      <c r="E89" s="19"/>
      <c r="F89" s="20" t="s">
        <v>6</v>
      </c>
      <c r="G89" s="19"/>
      <c r="H89" s="21" t="s">
        <v>7</v>
      </c>
      <c r="I89" s="19"/>
      <c r="J89" s="21" t="s">
        <v>8</v>
      </c>
      <c r="K89" s="19"/>
      <c r="L89" s="21" t="s">
        <v>9</v>
      </c>
      <c r="M89" s="19"/>
      <c r="N89" s="21" t="s">
        <v>10</v>
      </c>
      <c r="O89" s="19"/>
      <c r="P89" s="50" t="s">
        <v>11</v>
      </c>
      <c r="Q89" s="32" t="s">
        <v>173</v>
      </c>
      <c r="R89" s="420" t="s">
        <v>171</v>
      </c>
      <c r="S89" s="421"/>
      <c r="T89" s="421"/>
      <c r="U89" s="421"/>
      <c r="V89" s="106" t="s">
        <v>218</v>
      </c>
      <c r="W89" s="160" t="s">
        <v>216</v>
      </c>
      <c r="X89" s="217"/>
    </row>
    <row r="90" spans="1:24" ht="14.1" customHeight="1" thickBot="1">
      <c r="A90" s="1"/>
      <c r="B90" s="1"/>
      <c r="C90" s="1"/>
      <c r="D90" s="23" t="s">
        <v>143</v>
      </c>
      <c r="E90" s="1"/>
      <c r="F90" s="6" t="s">
        <v>72</v>
      </c>
      <c r="G90" s="1"/>
      <c r="H90" s="7" t="s">
        <v>25</v>
      </c>
      <c r="I90" s="1"/>
      <c r="J90" s="7">
        <v>20</v>
      </c>
      <c r="K90" s="1"/>
      <c r="L90" s="7">
        <v>20</v>
      </c>
      <c r="M90" s="1"/>
      <c r="N90" s="7">
        <v>53</v>
      </c>
      <c r="O90" s="1"/>
      <c r="P90" s="51">
        <v>15</v>
      </c>
      <c r="Q90" s="36">
        <f>(((P90)*2*1))</f>
        <v>30</v>
      </c>
      <c r="R90" s="413">
        <f>(Q90/Q99)</f>
        <v>0.10067114093959731</v>
      </c>
      <c r="S90" s="414"/>
      <c r="T90" s="414"/>
      <c r="U90" s="414"/>
      <c r="V90" s="70">
        <v>3</v>
      </c>
      <c r="W90" s="71">
        <f>V90/Q111</f>
        <v>0.93103448275862066</v>
      </c>
      <c r="X90" s="169"/>
    </row>
    <row r="91" spans="1:24" ht="14.25" customHeight="1" thickBot="1">
      <c r="A91" s="1"/>
      <c r="B91" s="1"/>
      <c r="C91" s="1"/>
      <c r="D91" s="23" t="s">
        <v>144</v>
      </c>
      <c r="E91" s="1"/>
      <c r="F91" s="6" t="s">
        <v>145</v>
      </c>
      <c r="G91" s="1"/>
      <c r="H91" s="7" t="s">
        <v>25</v>
      </c>
      <c r="I91" s="1"/>
      <c r="J91" s="7">
        <v>0</v>
      </c>
      <c r="K91" s="1"/>
      <c r="L91" s="7">
        <v>17</v>
      </c>
      <c r="M91" s="1"/>
      <c r="N91" s="7">
        <v>43</v>
      </c>
      <c r="O91" s="1"/>
      <c r="P91" s="51">
        <v>15</v>
      </c>
      <c r="Q91" s="37">
        <f>(((P91)*2*2))</f>
        <v>60</v>
      </c>
      <c r="R91" s="413">
        <f>(Q91/Q99)</f>
        <v>0.20134228187919462</v>
      </c>
      <c r="S91" s="414"/>
      <c r="T91" s="414"/>
      <c r="U91" s="414"/>
      <c r="V91" s="70">
        <v>4</v>
      </c>
      <c r="W91" s="71">
        <f>V91/Q111</f>
        <v>1.2413793103448276</v>
      </c>
      <c r="X91" s="169"/>
    </row>
    <row r="92" spans="1:24" ht="12" customHeight="1" thickBot="1">
      <c r="A92" s="1"/>
      <c r="B92" s="1"/>
      <c r="C92" s="1"/>
      <c r="D92" s="23" t="s">
        <v>146</v>
      </c>
      <c r="E92" s="1"/>
      <c r="F92" s="14" t="s">
        <v>147</v>
      </c>
      <c r="G92" s="1"/>
      <c r="H92" s="7" t="s">
        <v>25</v>
      </c>
      <c r="I92" s="1"/>
      <c r="J92" s="7">
        <v>0</v>
      </c>
      <c r="K92" s="1"/>
      <c r="L92" s="7">
        <v>12</v>
      </c>
      <c r="M92" s="1"/>
      <c r="N92" s="7">
        <v>46</v>
      </c>
      <c r="O92" s="1"/>
      <c r="P92" s="51">
        <v>15</v>
      </c>
      <c r="Q92" s="37">
        <f t="shared" ref="Q92:Q98" si="0">(((P92)*2*1))</f>
        <v>30</v>
      </c>
      <c r="R92" s="413">
        <f>(Q92/Q99)</f>
        <v>0.10067114093959731</v>
      </c>
      <c r="S92" s="414"/>
      <c r="T92" s="414"/>
      <c r="U92" s="414"/>
      <c r="V92" s="70">
        <v>4</v>
      </c>
      <c r="W92" s="71">
        <f>V92/Q111</f>
        <v>1.2413793103448276</v>
      </c>
      <c r="X92" s="169"/>
    </row>
    <row r="93" spans="1:24" ht="14.25" customHeight="1" thickBot="1">
      <c r="A93" s="1"/>
      <c r="B93" s="1"/>
      <c r="C93" s="1"/>
      <c r="D93" s="23" t="s">
        <v>148</v>
      </c>
      <c r="E93" s="1"/>
      <c r="F93" s="6" t="s">
        <v>119</v>
      </c>
      <c r="G93" s="1"/>
      <c r="H93" s="7" t="s">
        <v>25</v>
      </c>
      <c r="I93" s="1"/>
      <c r="J93" s="7">
        <v>0</v>
      </c>
      <c r="K93" s="1"/>
      <c r="L93" s="7">
        <v>13</v>
      </c>
      <c r="M93" s="1"/>
      <c r="N93" s="7">
        <v>29</v>
      </c>
      <c r="O93" s="1"/>
      <c r="P93" s="51">
        <v>2</v>
      </c>
      <c r="Q93" s="37">
        <f t="shared" si="0"/>
        <v>4</v>
      </c>
      <c r="R93" s="413">
        <f>(Q93/Q99)</f>
        <v>1.3422818791946308E-2</v>
      </c>
      <c r="S93" s="414"/>
      <c r="T93" s="414"/>
      <c r="U93" s="414"/>
      <c r="V93" s="70">
        <v>3</v>
      </c>
      <c r="W93" s="71">
        <f>V93/Q111</f>
        <v>0.93103448275862066</v>
      </c>
      <c r="X93" s="169"/>
    </row>
    <row r="94" spans="1:24" ht="15.75" customHeight="1" thickBot="1">
      <c r="A94" s="1"/>
      <c r="B94" s="1"/>
      <c r="C94" s="1"/>
      <c r="D94" s="23" t="s">
        <v>149</v>
      </c>
      <c r="E94" s="1"/>
      <c r="F94" s="6" t="s">
        <v>150</v>
      </c>
      <c r="G94" s="1"/>
      <c r="H94" s="7" t="s">
        <v>25</v>
      </c>
      <c r="I94" s="1"/>
      <c r="J94" s="7">
        <v>0</v>
      </c>
      <c r="K94" s="1"/>
      <c r="L94" s="7">
        <v>19</v>
      </c>
      <c r="M94" s="1"/>
      <c r="N94" s="7">
        <v>59</v>
      </c>
      <c r="O94" s="1"/>
      <c r="P94" s="51">
        <v>12</v>
      </c>
      <c r="Q94" s="37">
        <f>((N94)*1)</f>
        <v>59</v>
      </c>
      <c r="R94" s="413">
        <f>(Q94/Q99)</f>
        <v>0.19798657718120805</v>
      </c>
      <c r="S94" s="414"/>
      <c r="T94" s="414"/>
      <c r="U94" s="414"/>
      <c r="V94" s="70">
        <v>3</v>
      </c>
      <c r="W94" s="71">
        <f>V94/Q111</f>
        <v>0.93103448275862066</v>
      </c>
      <c r="X94" s="169"/>
    </row>
    <row r="95" spans="1:24" ht="21.75" customHeight="1" thickBot="1">
      <c r="A95" s="1"/>
      <c r="B95" s="1"/>
      <c r="C95" s="1"/>
      <c r="D95" s="23" t="s">
        <v>151</v>
      </c>
      <c r="E95" s="1"/>
      <c r="F95" s="13" t="s">
        <v>152</v>
      </c>
      <c r="G95" s="1"/>
      <c r="H95" s="7" t="s">
        <v>25</v>
      </c>
      <c r="I95" s="1"/>
      <c r="J95" s="7">
        <v>0</v>
      </c>
      <c r="K95" s="1"/>
      <c r="L95" s="7">
        <v>10</v>
      </c>
      <c r="M95" s="1"/>
      <c r="N95" s="7">
        <v>23</v>
      </c>
      <c r="O95" s="1"/>
      <c r="P95" s="51">
        <v>0</v>
      </c>
      <c r="Q95" s="37">
        <f>((N95)*1)</f>
        <v>23</v>
      </c>
      <c r="R95" s="413">
        <f>(Q95/Q99)</f>
        <v>7.7181208053691275E-2</v>
      </c>
      <c r="S95" s="414"/>
      <c r="T95" s="414"/>
      <c r="U95" s="414"/>
      <c r="V95" s="70">
        <v>3</v>
      </c>
      <c r="W95" s="71">
        <f>V95/Q111</f>
        <v>0.93103448275862066</v>
      </c>
      <c r="X95" s="169"/>
    </row>
    <row r="96" spans="1:24" ht="12.75" customHeight="1" thickBot="1">
      <c r="A96" s="1"/>
      <c r="B96" s="1"/>
      <c r="C96" s="1"/>
      <c r="D96" s="23" t="s">
        <v>153</v>
      </c>
      <c r="E96" s="1"/>
      <c r="F96" s="14" t="s">
        <v>154</v>
      </c>
      <c r="G96" s="1"/>
      <c r="H96" s="7" t="s">
        <v>25</v>
      </c>
      <c r="I96" s="1"/>
      <c r="J96" s="7">
        <v>0</v>
      </c>
      <c r="K96" s="1"/>
      <c r="L96" s="7">
        <v>23</v>
      </c>
      <c r="M96" s="1"/>
      <c r="N96" s="7">
        <v>23</v>
      </c>
      <c r="O96" s="1"/>
      <c r="P96" s="51">
        <v>0</v>
      </c>
      <c r="Q96" s="37">
        <f>((N96)*1)</f>
        <v>23</v>
      </c>
      <c r="R96" s="413">
        <f>(Q96/Q99)</f>
        <v>7.7181208053691275E-2</v>
      </c>
      <c r="S96" s="414"/>
      <c r="T96" s="414"/>
      <c r="U96" s="414"/>
      <c r="V96" s="70">
        <v>3</v>
      </c>
      <c r="W96" s="71">
        <f>V96/Q111</f>
        <v>0.93103448275862066</v>
      </c>
      <c r="X96" s="169"/>
    </row>
    <row r="97" spans="1:24" ht="13.5" customHeight="1" thickBot="1">
      <c r="A97" s="1"/>
      <c r="B97" s="1"/>
      <c r="C97" s="1"/>
      <c r="D97" s="23" t="s">
        <v>155</v>
      </c>
      <c r="E97" s="1"/>
      <c r="F97" s="6" t="s">
        <v>156</v>
      </c>
      <c r="G97" s="1"/>
      <c r="H97" s="7" t="s">
        <v>25</v>
      </c>
      <c r="I97" s="1"/>
      <c r="J97" s="7">
        <v>0</v>
      </c>
      <c r="K97" s="1"/>
      <c r="L97" s="7">
        <v>18</v>
      </c>
      <c r="M97" s="1"/>
      <c r="N97" s="7">
        <v>47</v>
      </c>
      <c r="O97" s="1"/>
      <c r="P97" s="210">
        <v>13</v>
      </c>
      <c r="Q97" s="37">
        <f>((N97)*1)</f>
        <v>47</v>
      </c>
      <c r="R97" s="413">
        <f>(Q97/Q99)</f>
        <v>0.15771812080536912</v>
      </c>
      <c r="S97" s="414"/>
      <c r="T97" s="414"/>
      <c r="U97" s="414"/>
      <c r="V97" s="70">
        <v>3</v>
      </c>
      <c r="W97" s="71">
        <f>V97/Q111</f>
        <v>0.93103448275862066</v>
      </c>
      <c r="X97" s="169"/>
    </row>
    <row r="98" spans="1:24" ht="13.5" customHeight="1" thickBot="1">
      <c r="A98" s="1"/>
      <c r="B98" s="1"/>
      <c r="C98" s="1"/>
      <c r="D98" s="52" t="s">
        <v>157</v>
      </c>
      <c r="E98" s="53"/>
      <c r="F98" s="54" t="s">
        <v>158</v>
      </c>
      <c r="G98" s="53"/>
      <c r="H98" s="55" t="s">
        <v>25</v>
      </c>
      <c r="I98" s="53"/>
      <c r="J98" s="55">
        <v>0</v>
      </c>
      <c r="K98" s="53"/>
      <c r="L98" s="55">
        <v>10</v>
      </c>
      <c r="M98" s="53"/>
      <c r="N98" s="55">
        <v>45</v>
      </c>
      <c r="O98" s="53"/>
      <c r="P98" s="211">
        <v>11</v>
      </c>
      <c r="Q98" s="38">
        <f t="shared" si="0"/>
        <v>22</v>
      </c>
      <c r="R98" s="413">
        <f>(Q98/Q99)</f>
        <v>7.3825503355704702E-2</v>
      </c>
      <c r="S98" s="414"/>
      <c r="T98" s="414"/>
      <c r="U98" s="414"/>
      <c r="V98" s="74">
        <v>3</v>
      </c>
      <c r="W98" s="79">
        <f>V98/Q111</f>
        <v>0.93103448275862066</v>
      </c>
      <c r="X98" s="169"/>
    </row>
    <row r="99" spans="1:24" ht="12.75" customHeight="1" thickBot="1">
      <c r="A99" s="1"/>
      <c r="B99" s="1"/>
      <c r="C99" s="1"/>
      <c r="D99" s="313" t="s">
        <v>190</v>
      </c>
      <c r="E99" s="314"/>
      <c r="F99" s="314"/>
      <c r="G99" s="314"/>
      <c r="H99" s="314"/>
      <c r="I99" s="314"/>
      <c r="J99" s="314"/>
      <c r="K99" s="314"/>
      <c r="L99" s="314"/>
      <c r="M99" s="314"/>
      <c r="N99" s="314"/>
      <c r="O99" s="314"/>
      <c r="P99" s="314"/>
      <c r="Q99" s="60">
        <f>SUM(Q90:Q98)</f>
        <v>298</v>
      </c>
      <c r="R99" s="377">
        <f>SUM(R89:U98)</f>
        <v>1</v>
      </c>
      <c r="S99" s="378"/>
      <c r="T99" s="378"/>
      <c r="U99" s="378"/>
      <c r="V99" s="395"/>
      <c r="W99" s="397"/>
      <c r="X99" s="169"/>
    </row>
    <row r="100" spans="1:24" ht="12.75" customHeight="1" thickBot="1">
      <c r="A100" s="1"/>
      <c r="B100" s="1"/>
      <c r="C100" s="1"/>
      <c r="D100" s="313" t="s">
        <v>215</v>
      </c>
      <c r="E100" s="426"/>
      <c r="F100" s="426"/>
      <c r="G100" s="426"/>
      <c r="H100" s="426"/>
      <c r="I100" s="426"/>
      <c r="J100" s="426"/>
      <c r="K100" s="426"/>
      <c r="L100" s="426"/>
      <c r="M100" s="426"/>
      <c r="N100" s="426"/>
      <c r="O100" s="426"/>
      <c r="P100" s="427"/>
      <c r="Q100" s="417">
        <f>SUM(W90:W98)/9</f>
        <v>1.0000000000000002</v>
      </c>
      <c r="R100" s="418"/>
      <c r="S100" s="418"/>
      <c r="T100" s="418"/>
      <c r="U100" s="419"/>
      <c r="V100" s="401"/>
      <c r="W100" s="403"/>
      <c r="X100" s="169"/>
    </row>
    <row r="101" spans="1:24" ht="15" customHeight="1">
      <c r="A101" s="1"/>
      <c r="B101" s="1"/>
      <c r="C101" s="1"/>
      <c r="D101" s="455"/>
      <c r="E101" s="324"/>
      <c r="F101" s="324"/>
      <c r="G101" s="324"/>
      <c r="H101" s="324"/>
      <c r="I101" s="324"/>
      <c r="J101" s="324"/>
      <c r="K101" s="324"/>
      <c r="L101" s="324"/>
      <c r="M101" s="324"/>
      <c r="N101" s="324"/>
      <c r="O101" s="324"/>
      <c r="P101" s="324"/>
      <c r="Q101" s="165"/>
      <c r="R101" s="456"/>
      <c r="S101" s="456"/>
      <c r="T101" s="456"/>
      <c r="U101" s="456"/>
      <c r="V101" s="25"/>
      <c r="W101" s="25"/>
      <c r="X101" s="167"/>
    </row>
    <row r="102" spans="1:24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25"/>
      <c r="W102" s="25"/>
      <c r="X102" s="167"/>
    </row>
    <row r="103" spans="1:24" ht="14.1" customHeight="1">
      <c r="A103" s="1"/>
      <c r="B103" s="1"/>
      <c r="C103" s="287"/>
      <c r="D103" s="287"/>
      <c r="E103" s="287"/>
      <c r="F103" s="287"/>
      <c r="G103" s="287"/>
      <c r="H103" s="287"/>
      <c r="I103" s="287"/>
      <c r="J103" s="287"/>
      <c r="K103" s="287"/>
      <c r="L103" s="287"/>
      <c r="M103" s="287"/>
      <c r="N103" s="287"/>
      <c r="O103" s="287"/>
      <c r="P103" s="287"/>
      <c r="Q103" s="287"/>
      <c r="R103" s="287"/>
      <c r="S103" s="1"/>
      <c r="T103" s="1"/>
      <c r="U103" s="1"/>
      <c r="V103" s="25"/>
      <c r="W103" s="25"/>
      <c r="X103" s="167"/>
    </row>
    <row r="104" spans="1:24" ht="0.9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25"/>
      <c r="W104" s="25"/>
      <c r="X104" s="167"/>
    </row>
    <row r="105" spans="1:24" ht="12" customHeight="1">
      <c r="A105" s="1"/>
      <c r="B105" s="1"/>
      <c r="C105" s="1"/>
      <c r="D105" s="319"/>
      <c r="E105" s="319"/>
      <c r="F105" s="319"/>
      <c r="G105" s="319"/>
      <c r="H105" s="319"/>
      <c r="I105" s="319"/>
      <c r="J105" s="319"/>
      <c r="K105" s="319"/>
      <c r="L105" s="319"/>
      <c r="M105" s="319"/>
      <c r="N105" s="319"/>
      <c r="O105" s="319"/>
      <c r="P105" s="319"/>
      <c r="Q105" s="319"/>
      <c r="R105" s="319"/>
      <c r="S105" s="319"/>
      <c r="T105" s="319"/>
      <c r="U105" s="1"/>
      <c r="V105" s="25"/>
      <c r="W105" s="25"/>
      <c r="X105" s="167"/>
    </row>
    <row r="106" spans="1:24" ht="3.95" customHeight="1" thickBo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25"/>
      <c r="W106" s="25"/>
      <c r="X106" s="167"/>
    </row>
    <row r="107" spans="1:24" ht="17.25" customHeight="1" thickBot="1">
      <c r="A107" s="1"/>
      <c r="B107" s="1"/>
      <c r="C107" s="1"/>
      <c r="D107" s="423" t="s">
        <v>168</v>
      </c>
      <c r="E107" s="424"/>
      <c r="F107" s="424"/>
      <c r="G107" s="424"/>
      <c r="H107" s="424"/>
      <c r="I107" s="424"/>
      <c r="J107" s="424"/>
      <c r="K107" s="424"/>
      <c r="L107" s="424"/>
      <c r="M107" s="424"/>
      <c r="N107" s="424"/>
      <c r="O107" s="424"/>
      <c r="P107" s="425"/>
      <c r="Q107" s="59">
        <f>SUM(Q12,Q25,Q40,Q61,Q75)</f>
        <v>4855.1305000000002</v>
      </c>
      <c r="R107" s="458"/>
      <c r="S107" s="458"/>
      <c r="T107" s="458"/>
      <c r="U107" s="458"/>
      <c r="V107" s="25"/>
      <c r="W107" s="25"/>
      <c r="X107" s="167"/>
    </row>
    <row r="108" spans="1:24" ht="15" customHeight="1" thickBot="1">
      <c r="A108" s="1"/>
      <c r="B108" s="1"/>
      <c r="C108" s="1"/>
      <c r="D108" s="295" t="s">
        <v>169</v>
      </c>
      <c r="E108" s="296"/>
      <c r="F108" s="296"/>
      <c r="G108" s="296"/>
      <c r="H108" s="296"/>
      <c r="I108" s="296"/>
      <c r="J108" s="296"/>
      <c r="K108" s="296"/>
      <c r="L108" s="296"/>
      <c r="M108" s="296"/>
      <c r="N108" s="296"/>
      <c r="O108" s="296"/>
      <c r="P108" s="297"/>
      <c r="Q108" s="170">
        <f>SUM(Q99)</f>
        <v>298</v>
      </c>
      <c r="R108" s="456"/>
      <c r="S108" s="456"/>
      <c r="T108" s="456"/>
      <c r="U108" s="456"/>
      <c r="V108" s="166"/>
      <c r="W108" s="25"/>
      <c r="X108" s="167"/>
    </row>
    <row r="109" spans="1:24" ht="13.5" customHeight="1" thickBot="1">
      <c r="A109" s="1"/>
      <c r="B109" s="1"/>
      <c r="C109" s="1"/>
      <c r="D109" s="298" t="s">
        <v>250</v>
      </c>
      <c r="E109" s="299"/>
      <c r="F109" s="299"/>
      <c r="G109" s="299"/>
      <c r="H109" s="299"/>
      <c r="I109" s="299"/>
      <c r="J109" s="299"/>
      <c r="K109" s="299"/>
      <c r="L109" s="299"/>
      <c r="M109" s="299"/>
      <c r="N109" s="299"/>
      <c r="O109" s="299"/>
      <c r="P109" s="300"/>
      <c r="Q109" s="215">
        <f>SUM(Q107:Q108)</f>
        <v>5153.1305000000002</v>
      </c>
      <c r="R109" s="456"/>
      <c r="S109" s="456"/>
      <c r="T109" s="456"/>
      <c r="U109" s="456"/>
      <c r="V109" s="166"/>
      <c r="W109" s="25"/>
      <c r="X109" s="167"/>
    </row>
    <row r="110" spans="1:24" ht="14.25" customHeight="1" thickBot="1">
      <c r="A110" s="1"/>
      <c r="B110" s="1"/>
      <c r="C110" s="1"/>
      <c r="D110" s="295" t="s">
        <v>214</v>
      </c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7"/>
      <c r="Q110" s="59">
        <f>(V7+V8+V9+V10+V11+V22+V23+V24+V35+V36+V37+V38+V39+V50+V51+V52+V53+V54+V55+V56+V57+V58+V59+V60+V71+V72+V73+V74)/28</f>
        <v>3.1428571428571428</v>
      </c>
      <c r="R110" s="456"/>
      <c r="S110" s="456"/>
      <c r="T110" s="456"/>
      <c r="U110" s="456"/>
      <c r="V110" s="463"/>
      <c r="W110" s="25"/>
      <c r="X110" s="167"/>
    </row>
    <row r="111" spans="1:24" ht="15" customHeight="1" thickBot="1">
      <c r="A111" s="1"/>
      <c r="B111" s="1"/>
      <c r="C111" s="1"/>
      <c r="D111" s="298" t="s">
        <v>217</v>
      </c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300"/>
      <c r="Q111" s="179">
        <f>SUM(V90:V98)/9</f>
        <v>3.2222222222222223</v>
      </c>
      <c r="R111" s="456"/>
      <c r="S111" s="456"/>
      <c r="T111" s="456"/>
      <c r="U111" s="456"/>
      <c r="V111" s="463"/>
      <c r="W111" s="25"/>
      <c r="X111" s="167"/>
    </row>
    <row r="112" spans="1:24" ht="15" customHeight="1" thickBot="1">
      <c r="A112" s="1"/>
      <c r="B112" s="1"/>
      <c r="C112" s="1"/>
      <c r="D112" s="292" t="s">
        <v>230</v>
      </c>
      <c r="E112" s="293"/>
      <c r="F112" s="293"/>
      <c r="G112" s="293"/>
      <c r="H112" s="293"/>
      <c r="I112" s="293"/>
      <c r="J112" s="293"/>
      <c r="K112" s="293"/>
      <c r="L112" s="293"/>
      <c r="M112" s="293"/>
      <c r="N112" s="293"/>
      <c r="O112" s="293"/>
      <c r="P112" s="294"/>
      <c r="Q112" s="216">
        <f>(Q15+Q28+Q43+Q64+Q78)/5</f>
        <v>17.181847966557836</v>
      </c>
      <c r="R112" s="456"/>
      <c r="S112" s="456"/>
      <c r="T112" s="456"/>
      <c r="U112" s="456"/>
      <c r="V112" s="463"/>
      <c r="W112" s="25"/>
      <c r="X112" s="167"/>
    </row>
    <row r="113" spans="1:24" ht="16.5" customHeight="1" thickBot="1">
      <c r="A113" s="1"/>
      <c r="B113" s="1"/>
      <c r="C113" s="1"/>
      <c r="D113" s="292" t="s">
        <v>249</v>
      </c>
      <c r="E113" s="293"/>
      <c r="F113" s="293"/>
      <c r="G113" s="293"/>
      <c r="H113" s="293"/>
      <c r="I113" s="293"/>
      <c r="J113" s="293"/>
      <c r="K113" s="293"/>
      <c r="L113" s="293"/>
      <c r="M113" s="293"/>
      <c r="N113" s="293"/>
      <c r="O113" s="293"/>
      <c r="P113" s="293"/>
      <c r="Q113" s="216">
        <f>(Q17+Q30+Q45+Q66+Q80)</f>
        <v>14.668431176973499</v>
      </c>
      <c r="R113" s="456"/>
      <c r="S113" s="456"/>
      <c r="T113" s="456"/>
      <c r="U113" s="456"/>
      <c r="V113" s="463"/>
      <c r="W113" s="25"/>
      <c r="X113" s="167"/>
    </row>
    <row r="114" spans="1:24" ht="9.9499999999999993" customHeight="1">
      <c r="A114" s="1"/>
      <c r="B114" s="1"/>
      <c r="C114" s="1"/>
      <c r="D114" s="8"/>
      <c r="E114" s="1"/>
      <c r="F114" s="8"/>
      <c r="G114" s="1"/>
      <c r="H114" s="9"/>
      <c r="I114" s="1"/>
      <c r="J114" s="9"/>
      <c r="K114" s="1"/>
      <c r="L114" s="9"/>
      <c r="M114" s="1"/>
      <c r="N114" s="9"/>
      <c r="O114" s="1"/>
      <c r="P114" s="9"/>
      <c r="Q114" s="462"/>
      <c r="R114" s="456"/>
      <c r="S114" s="456"/>
      <c r="T114" s="456"/>
      <c r="U114" s="456"/>
      <c r="V114" s="463"/>
      <c r="W114" s="25"/>
    </row>
    <row r="115" spans="1:24" ht="9.9499999999999993" customHeight="1">
      <c r="A115" s="1"/>
      <c r="B115" s="1"/>
      <c r="C115" s="1"/>
      <c r="D115" s="8"/>
      <c r="E115" s="1"/>
      <c r="F115" s="8"/>
      <c r="G115" s="1"/>
      <c r="H115" s="9"/>
      <c r="I115" s="1"/>
      <c r="J115" s="9"/>
      <c r="K115" s="1"/>
      <c r="L115" s="9"/>
      <c r="M115" s="1"/>
      <c r="N115" s="9"/>
      <c r="O115" s="1"/>
      <c r="P115" s="9"/>
      <c r="Q115" s="462"/>
      <c r="R115" s="456"/>
      <c r="S115" s="456"/>
      <c r="T115" s="456"/>
      <c r="U115" s="456"/>
      <c r="V115" s="463"/>
      <c r="W115" s="25"/>
    </row>
    <row r="116" spans="1:24" ht="14.25" customHeight="1">
      <c r="A116" s="1"/>
      <c r="B116" s="1"/>
      <c r="C116" s="1"/>
      <c r="D116" s="455"/>
      <c r="E116" s="324"/>
      <c r="F116" s="324"/>
      <c r="G116" s="324"/>
      <c r="H116" s="324"/>
      <c r="I116" s="324"/>
      <c r="J116" s="324"/>
      <c r="K116" s="324"/>
      <c r="L116" s="324"/>
      <c r="M116" s="324"/>
      <c r="N116" s="324"/>
      <c r="O116" s="324"/>
      <c r="P116" s="324"/>
      <c r="Q116" s="165"/>
      <c r="R116" s="456"/>
      <c r="S116" s="456"/>
      <c r="T116" s="456"/>
      <c r="U116" s="456"/>
      <c r="V116" s="25"/>
      <c r="W116" s="25"/>
    </row>
    <row r="117" spans="1:24" ht="13.5" customHeight="1">
      <c r="A117" s="1"/>
      <c r="B117" s="1"/>
      <c r="C117" s="1"/>
      <c r="D117" s="455"/>
      <c r="E117" s="324"/>
      <c r="F117" s="324"/>
      <c r="G117" s="324"/>
      <c r="H117" s="324"/>
      <c r="I117" s="324"/>
      <c r="J117" s="324"/>
      <c r="K117" s="324"/>
      <c r="L117" s="324"/>
      <c r="M117" s="324"/>
      <c r="N117" s="324"/>
      <c r="O117" s="324"/>
      <c r="P117" s="324"/>
      <c r="Q117" s="165"/>
      <c r="R117" s="456"/>
      <c r="S117" s="456"/>
      <c r="T117" s="456"/>
      <c r="U117" s="456"/>
      <c r="V117" s="25"/>
      <c r="W117" s="25"/>
    </row>
    <row r="118" spans="1:24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25"/>
      <c r="W118" s="25"/>
    </row>
    <row r="119" spans="1:24" ht="0.9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25"/>
      <c r="W119" s="25"/>
    </row>
    <row r="120" spans="1:24" ht="14.1" customHeight="1">
      <c r="A120" s="1"/>
      <c r="B120" s="1"/>
      <c r="C120" s="287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1"/>
      <c r="T120" s="1"/>
      <c r="U120" s="1"/>
      <c r="V120" s="25"/>
      <c r="W120" s="25"/>
    </row>
    <row r="121" spans="1:24" ht="0.9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25"/>
      <c r="W121" s="25"/>
    </row>
    <row r="122" spans="1:24" ht="12" customHeight="1">
      <c r="A122" s="1"/>
      <c r="B122" s="1"/>
      <c r="C122" s="1"/>
      <c r="D122" s="319"/>
      <c r="E122" s="319"/>
      <c r="F122" s="319"/>
      <c r="G122" s="319"/>
      <c r="H122" s="319"/>
      <c r="I122" s="319"/>
      <c r="J122" s="319"/>
      <c r="K122" s="319"/>
      <c r="L122" s="319"/>
      <c r="M122" s="319"/>
      <c r="N122" s="319"/>
      <c r="O122" s="319"/>
      <c r="P122" s="319"/>
      <c r="Q122" s="319"/>
      <c r="R122" s="319"/>
      <c r="S122" s="319"/>
      <c r="T122" s="319"/>
      <c r="U122" s="1"/>
      <c r="V122" s="25"/>
      <c r="W122" s="25"/>
    </row>
    <row r="123" spans="1:24" ht="3.9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25"/>
      <c r="W123" s="25"/>
    </row>
    <row r="124" spans="1:24" ht="27" customHeight="1">
      <c r="A124" s="1"/>
      <c r="B124" s="1"/>
      <c r="C124" s="1"/>
      <c r="D124" s="9"/>
      <c r="E124" s="1"/>
      <c r="F124" s="9"/>
      <c r="G124" s="1"/>
      <c r="H124" s="9"/>
      <c r="I124" s="1"/>
      <c r="J124" s="9"/>
      <c r="K124" s="1"/>
      <c r="L124" s="9"/>
      <c r="M124" s="1"/>
      <c r="N124" s="9"/>
      <c r="O124" s="1"/>
      <c r="P124" s="9"/>
      <c r="Q124" s="228"/>
      <c r="R124" s="458"/>
      <c r="S124" s="458"/>
      <c r="T124" s="458"/>
      <c r="U124" s="458"/>
      <c r="V124" s="25"/>
      <c r="W124" s="25"/>
    </row>
    <row r="125" spans="1:24" ht="13.5" customHeight="1">
      <c r="A125" s="1"/>
      <c r="B125" s="1"/>
      <c r="C125" s="1"/>
      <c r="D125" s="8"/>
      <c r="E125" s="1"/>
      <c r="F125" s="8"/>
      <c r="G125" s="1"/>
      <c r="H125" s="9"/>
      <c r="I125" s="1"/>
      <c r="J125" s="9"/>
      <c r="K125" s="1"/>
      <c r="L125" s="9"/>
      <c r="M125" s="1"/>
      <c r="N125" s="9"/>
      <c r="O125" s="1"/>
      <c r="P125" s="9"/>
      <c r="Q125" s="178"/>
      <c r="R125" s="456"/>
      <c r="S125" s="456"/>
      <c r="T125" s="456"/>
      <c r="U125" s="456"/>
      <c r="V125" s="166"/>
      <c r="W125" s="25"/>
    </row>
    <row r="126" spans="1:24" ht="15.75" customHeight="1">
      <c r="A126" s="1"/>
      <c r="B126" s="1"/>
      <c r="C126" s="1"/>
      <c r="D126" s="8"/>
      <c r="E126" s="1"/>
      <c r="F126" s="8"/>
      <c r="G126" s="1"/>
      <c r="H126" s="9"/>
      <c r="I126" s="1"/>
      <c r="J126" s="9"/>
      <c r="K126" s="1"/>
      <c r="L126" s="9"/>
      <c r="M126" s="1"/>
      <c r="N126" s="9"/>
      <c r="O126" s="1"/>
      <c r="P126" s="9"/>
      <c r="Q126" s="178"/>
      <c r="R126" s="456"/>
      <c r="S126" s="456"/>
      <c r="T126" s="456"/>
      <c r="U126" s="456"/>
      <c r="V126" s="166"/>
      <c r="W126" s="25"/>
    </row>
    <row r="127" spans="1:24" ht="15.75" customHeight="1">
      <c r="A127" s="1"/>
      <c r="B127" s="1"/>
      <c r="C127" s="1"/>
      <c r="D127" s="455"/>
      <c r="E127" s="324"/>
      <c r="F127" s="324"/>
      <c r="G127" s="324"/>
      <c r="H127" s="324"/>
      <c r="I127" s="324"/>
      <c r="J127" s="324"/>
      <c r="K127" s="324"/>
      <c r="L127" s="324"/>
      <c r="M127" s="324"/>
      <c r="N127" s="324"/>
      <c r="O127" s="324"/>
      <c r="P127" s="324"/>
      <c r="Q127" s="178"/>
      <c r="R127" s="456"/>
      <c r="S127" s="456"/>
      <c r="T127" s="456"/>
      <c r="U127" s="456"/>
      <c r="V127" s="166"/>
      <c r="W127" s="25"/>
    </row>
    <row r="128" spans="1:24" ht="13.5" customHeight="1">
      <c r="A128" s="1"/>
      <c r="B128" s="1"/>
      <c r="C128" s="1"/>
      <c r="D128" s="455"/>
      <c r="E128" s="324"/>
      <c r="F128" s="324"/>
      <c r="G128" s="324"/>
      <c r="H128" s="324"/>
      <c r="I128" s="324"/>
      <c r="J128" s="324"/>
      <c r="K128" s="324"/>
      <c r="L128" s="324"/>
      <c r="M128" s="324"/>
      <c r="N128" s="324"/>
      <c r="O128" s="324"/>
      <c r="P128" s="324"/>
      <c r="Q128" s="165"/>
      <c r="R128" s="456"/>
      <c r="S128" s="456"/>
      <c r="T128" s="456"/>
      <c r="U128" s="456"/>
      <c r="V128" s="166"/>
      <c r="W128" s="25"/>
    </row>
    <row r="129" spans="1:25" ht="18.75" customHeight="1">
      <c r="A129" s="1"/>
      <c r="B129" s="1"/>
      <c r="C129" s="1"/>
      <c r="D129" s="287"/>
      <c r="E129" s="287"/>
      <c r="F129" s="287"/>
      <c r="G129" s="287"/>
      <c r="H129" s="287"/>
      <c r="I129" s="287"/>
      <c r="J129" s="287"/>
      <c r="K129" s="287"/>
      <c r="L129" s="287"/>
      <c r="M129" s="287"/>
      <c r="N129" s="287"/>
      <c r="O129" s="287"/>
      <c r="P129" s="287"/>
      <c r="Q129" s="287"/>
      <c r="R129" s="287"/>
      <c r="S129" s="287"/>
      <c r="T129" s="1"/>
      <c r="U129" s="1"/>
      <c r="V129" s="166"/>
      <c r="W129" s="25"/>
    </row>
    <row r="130" spans="1:25" ht="15.75" customHeight="1">
      <c r="A130" s="1"/>
      <c r="B130" s="1"/>
      <c r="C130" s="1"/>
      <c r="D130" s="411"/>
      <c r="E130" s="411"/>
      <c r="F130" s="411"/>
      <c r="G130" s="411"/>
      <c r="H130" s="411"/>
      <c r="I130" s="411"/>
      <c r="J130" s="411"/>
      <c r="K130" s="411"/>
      <c r="L130" s="411"/>
      <c r="M130" s="411"/>
      <c r="N130" s="411"/>
      <c r="O130" s="411"/>
      <c r="P130" s="411"/>
      <c r="Q130" s="411"/>
      <c r="R130" s="411"/>
      <c r="S130" s="411"/>
      <c r="T130" s="411"/>
      <c r="U130" s="411"/>
      <c r="V130" s="166"/>
      <c r="W130" s="25"/>
    </row>
    <row r="131" spans="1:25" ht="15.75" customHeight="1">
      <c r="A131" s="1"/>
      <c r="B131" s="1"/>
      <c r="C131" s="1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66"/>
      <c r="W131" s="25"/>
    </row>
    <row r="132" spans="1:25" ht="15.75" customHeight="1">
      <c r="A132" s="1"/>
      <c r="B132" s="1"/>
      <c r="C132" s="1"/>
      <c r="D132" s="9"/>
      <c r="E132" s="1"/>
      <c r="F132" s="9"/>
      <c r="G132" s="1"/>
      <c r="H132" s="9"/>
      <c r="I132" s="1"/>
      <c r="J132" s="9"/>
      <c r="K132" s="1"/>
      <c r="L132" s="9"/>
      <c r="M132" s="1"/>
      <c r="N132" s="9"/>
      <c r="O132" s="1"/>
      <c r="P132" s="9"/>
      <c r="Q132" s="228"/>
      <c r="R132" s="458"/>
      <c r="S132" s="458"/>
      <c r="T132" s="458"/>
      <c r="U132" s="458"/>
      <c r="V132" s="166"/>
      <c r="W132" s="25"/>
    </row>
    <row r="133" spans="1:25" ht="24.75" customHeight="1">
      <c r="A133" s="1"/>
      <c r="B133" s="1"/>
      <c r="C133" s="1"/>
      <c r="D133" s="8"/>
      <c r="E133" s="1"/>
      <c r="F133" s="8"/>
      <c r="G133" s="1"/>
      <c r="H133" s="9"/>
      <c r="I133" s="1"/>
      <c r="J133" s="9"/>
      <c r="K133" s="1"/>
      <c r="L133" s="9"/>
      <c r="M133" s="1"/>
      <c r="N133" s="9"/>
      <c r="O133" s="1"/>
      <c r="P133" s="9"/>
      <c r="Q133" s="178"/>
      <c r="R133" s="456"/>
      <c r="S133" s="456"/>
      <c r="T133" s="456"/>
      <c r="U133" s="456"/>
      <c r="V133" s="166"/>
      <c r="W133" s="25"/>
      <c r="Y133" s="42"/>
    </row>
    <row r="134" spans="1:25" ht="24.75" customHeight="1">
      <c r="A134" s="1"/>
      <c r="B134" s="1"/>
      <c r="C134" s="1"/>
      <c r="D134" s="8"/>
      <c r="E134" s="1"/>
      <c r="F134" s="8"/>
      <c r="G134" s="1"/>
      <c r="H134" s="9"/>
      <c r="I134" s="1"/>
      <c r="J134" s="9"/>
      <c r="K134" s="1"/>
      <c r="L134" s="9"/>
      <c r="M134" s="1"/>
      <c r="N134" s="9"/>
      <c r="O134" s="1"/>
      <c r="P134" s="9"/>
      <c r="Q134" s="1"/>
      <c r="R134" s="1"/>
      <c r="S134" s="1"/>
      <c r="T134" s="1"/>
      <c r="U134" s="1"/>
      <c r="V134" s="166"/>
      <c r="W134" s="25"/>
    </row>
    <row r="135" spans="1:25" ht="14.1" customHeight="1">
      <c r="A135" s="1"/>
      <c r="B135" s="1"/>
      <c r="C135" s="287"/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7"/>
      <c r="O135" s="287"/>
      <c r="P135" s="287"/>
      <c r="Q135" s="287"/>
      <c r="R135" s="287"/>
      <c r="S135" s="1"/>
      <c r="T135" s="1"/>
      <c r="U135" s="1"/>
      <c r="V135" s="166"/>
      <c r="W135" s="25"/>
    </row>
    <row r="136" spans="1:25" ht="0.9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66"/>
      <c r="W136" s="25"/>
    </row>
    <row r="137" spans="1:25" ht="12" customHeight="1">
      <c r="A137" s="1"/>
      <c r="B137" s="1"/>
      <c r="C137" s="1"/>
      <c r="D137" s="319"/>
      <c r="E137" s="319"/>
      <c r="F137" s="319"/>
      <c r="G137" s="319"/>
      <c r="H137" s="319"/>
      <c r="I137" s="319"/>
      <c r="J137" s="319"/>
      <c r="K137" s="319"/>
      <c r="L137" s="319"/>
      <c r="M137" s="319"/>
      <c r="N137" s="319"/>
      <c r="O137" s="319"/>
      <c r="P137" s="319"/>
      <c r="Q137" s="319"/>
      <c r="R137" s="319"/>
      <c r="S137" s="319"/>
      <c r="T137" s="319"/>
      <c r="U137" s="1"/>
      <c r="V137" s="166"/>
      <c r="W137" s="25"/>
    </row>
    <row r="138" spans="1:25" ht="3.9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66"/>
      <c r="W138" s="25"/>
    </row>
    <row r="139" spans="1:25" ht="27" customHeight="1">
      <c r="A139" s="1"/>
      <c r="B139" s="1"/>
      <c r="C139" s="1"/>
      <c r="D139" s="9"/>
      <c r="E139" s="1"/>
      <c r="F139" s="9"/>
      <c r="G139" s="1"/>
      <c r="H139" s="9"/>
      <c r="I139" s="1"/>
      <c r="J139" s="9"/>
      <c r="K139" s="1"/>
      <c r="L139" s="9"/>
      <c r="M139" s="1"/>
      <c r="N139" s="9"/>
      <c r="O139" s="1"/>
      <c r="P139" s="9"/>
      <c r="Q139" s="228"/>
      <c r="R139" s="458"/>
      <c r="S139" s="458"/>
      <c r="T139" s="458"/>
      <c r="U139" s="458"/>
      <c r="V139" s="166"/>
      <c r="W139" s="25"/>
    </row>
    <row r="140" spans="1:25" ht="11.25" customHeight="1">
      <c r="A140" s="1"/>
      <c r="B140" s="1"/>
      <c r="C140" s="1"/>
      <c r="D140" s="8"/>
      <c r="E140" s="1"/>
      <c r="F140" s="8"/>
      <c r="G140" s="1"/>
      <c r="H140" s="9"/>
      <c r="I140" s="1"/>
      <c r="J140" s="9"/>
      <c r="K140" s="1"/>
      <c r="L140" s="9"/>
      <c r="M140" s="1"/>
      <c r="N140" s="9"/>
      <c r="O140" s="1"/>
      <c r="P140" s="9"/>
      <c r="Q140" s="148"/>
      <c r="R140" s="456"/>
      <c r="S140" s="456"/>
      <c r="T140" s="456"/>
      <c r="U140" s="456"/>
      <c r="V140" s="166"/>
      <c r="W140" s="25"/>
    </row>
    <row r="141" spans="1:25" ht="12.75" customHeight="1">
      <c r="A141" s="1"/>
      <c r="B141" s="1"/>
      <c r="C141" s="1"/>
      <c r="D141" s="8"/>
      <c r="E141" s="1"/>
      <c r="F141" s="8"/>
      <c r="G141" s="1"/>
      <c r="H141" s="9"/>
      <c r="I141" s="1"/>
      <c r="J141" s="9"/>
      <c r="K141" s="1"/>
      <c r="L141" s="9"/>
      <c r="M141" s="1"/>
      <c r="N141" s="9"/>
      <c r="O141" s="1"/>
      <c r="P141" s="9"/>
      <c r="Q141" s="148"/>
      <c r="R141" s="456"/>
      <c r="S141" s="456"/>
      <c r="T141" s="456"/>
      <c r="U141" s="456"/>
      <c r="V141" s="166"/>
      <c r="W141" s="25"/>
    </row>
    <row r="142" spans="1:25" ht="11.25" customHeight="1">
      <c r="A142" s="1"/>
      <c r="B142" s="1"/>
      <c r="C142" s="1"/>
      <c r="D142" s="8"/>
      <c r="E142" s="1"/>
      <c r="F142" s="8"/>
      <c r="G142" s="1"/>
      <c r="H142" s="9"/>
      <c r="I142" s="1"/>
      <c r="J142" s="9"/>
      <c r="K142" s="1"/>
      <c r="L142" s="9"/>
      <c r="M142" s="1"/>
      <c r="N142" s="9"/>
      <c r="O142" s="1"/>
      <c r="P142" s="9"/>
      <c r="Q142" s="148"/>
      <c r="R142" s="456"/>
      <c r="S142" s="456"/>
      <c r="T142" s="456"/>
      <c r="U142" s="456"/>
      <c r="V142" s="166"/>
      <c r="W142" s="25"/>
    </row>
    <row r="143" spans="1:25" ht="13.5" customHeight="1">
      <c r="A143" s="1"/>
      <c r="B143" s="1"/>
      <c r="C143" s="1"/>
      <c r="D143" s="8"/>
      <c r="E143" s="1"/>
      <c r="F143" s="8"/>
      <c r="G143" s="1"/>
      <c r="H143" s="9"/>
      <c r="I143" s="1"/>
      <c r="J143" s="9"/>
      <c r="K143" s="1"/>
      <c r="L143" s="9"/>
      <c r="M143" s="1"/>
      <c r="N143" s="9"/>
      <c r="O143" s="1"/>
      <c r="P143" s="9"/>
      <c r="Q143" s="148"/>
      <c r="R143" s="456"/>
      <c r="S143" s="456"/>
      <c r="T143" s="456"/>
      <c r="U143" s="456"/>
      <c r="V143" s="166"/>
      <c r="W143" s="25"/>
    </row>
    <row r="144" spans="1:25" ht="12" customHeight="1">
      <c r="A144" s="1"/>
      <c r="B144" s="1"/>
      <c r="C144" s="1"/>
      <c r="D144" s="8"/>
      <c r="E144" s="1"/>
      <c r="F144" s="8"/>
      <c r="G144" s="1"/>
      <c r="H144" s="9"/>
      <c r="I144" s="1"/>
      <c r="J144" s="9"/>
      <c r="K144" s="1"/>
      <c r="L144" s="9"/>
      <c r="M144" s="1"/>
      <c r="N144" s="9"/>
      <c r="O144" s="1"/>
      <c r="P144" s="9"/>
      <c r="Q144" s="148"/>
      <c r="R144" s="456"/>
      <c r="S144" s="456"/>
      <c r="T144" s="456"/>
      <c r="U144" s="456"/>
      <c r="V144" s="166"/>
      <c r="W144" s="25"/>
    </row>
    <row r="145" spans="1:23" ht="12.75" customHeight="1">
      <c r="A145" s="1"/>
      <c r="B145" s="1"/>
      <c r="C145" s="1"/>
      <c r="D145" s="8"/>
      <c r="E145" s="1"/>
      <c r="F145" s="8"/>
      <c r="G145" s="1"/>
      <c r="H145" s="9"/>
      <c r="I145" s="1"/>
      <c r="J145" s="9"/>
      <c r="K145" s="1"/>
      <c r="L145" s="9"/>
      <c r="M145" s="1"/>
      <c r="N145" s="9"/>
      <c r="O145" s="1"/>
      <c r="P145" s="9"/>
      <c r="Q145" s="148"/>
      <c r="R145" s="456"/>
      <c r="S145" s="456"/>
      <c r="T145" s="456"/>
      <c r="U145" s="456"/>
      <c r="V145" s="166"/>
      <c r="W145" s="25"/>
    </row>
    <row r="146" spans="1:23" ht="14.25" customHeight="1">
      <c r="A146" s="1"/>
      <c r="B146" s="1"/>
      <c r="C146" s="1"/>
      <c r="D146" s="8"/>
      <c r="E146" s="1"/>
      <c r="F146" s="8"/>
      <c r="G146" s="1"/>
      <c r="H146" s="9"/>
      <c r="I146" s="1"/>
      <c r="J146" s="9"/>
      <c r="K146" s="1"/>
      <c r="L146" s="9"/>
      <c r="M146" s="1"/>
      <c r="N146" s="9"/>
      <c r="O146" s="1"/>
      <c r="P146" s="9"/>
      <c r="Q146" s="148"/>
      <c r="R146" s="456"/>
      <c r="S146" s="456"/>
      <c r="T146" s="456"/>
      <c r="U146" s="456"/>
      <c r="V146" s="166"/>
      <c r="W146" s="25"/>
    </row>
    <row r="147" spans="1:23" ht="11.25" customHeight="1">
      <c r="A147" s="1"/>
      <c r="B147" s="1"/>
      <c r="C147" s="1"/>
      <c r="D147" s="8"/>
      <c r="E147" s="1"/>
      <c r="F147" s="8"/>
      <c r="G147" s="1"/>
      <c r="H147" s="9"/>
      <c r="I147" s="1"/>
      <c r="J147" s="9"/>
      <c r="K147" s="1"/>
      <c r="L147" s="9"/>
      <c r="M147" s="1"/>
      <c r="N147" s="9"/>
      <c r="O147" s="1"/>
      <c r="P147" s="9"/>
      <c r="Q147" s="148"/>
      <c r="R147" s="456"/>
      <c r="S147" s="456"/>
      <c r="T147" s="456"/>
      <c r="U147" s="456"/>
      <c r="V147" s="166"/>
      <c r="W147" s="25"/>
    </row>
    <row r="148" spans="1:23" ht="12.75" customHeight="1">
      <c r="A148" s="1"/>
      <c r="B148" s="1"/>
      <c r="C148" s="1"/>
      <c r="D148" s="8"/>
      <c r="E148" s="1"/>
      <c r="F148" s="8"/>
      <c r="G148" s="1"/>
      <c r="H148" s="9"/>
      <c r="I148" s="1"/>
      <c r="J148" s="9"/>
      <c r="K148" s="1"/>
      <c r="L148" s="9"/>
      <c r="M148" s="1"/>
      <c r="N148" s="9"/>
      <c r="O148" s="1"/>
      <c r="P148" s="9"/>
      <c r="Q148" s="148"/>
      <c r="R148" s="456"/>
      <c r="S148" s="456"/>
      <c r="T148" s="456"/>
      <c r="U148" s="456"/>
      <c r="V148" s="166"/>
      <c r="W148" s="25"/>
    </row>
    <row r="149" spans="1:23" ht="12.75" customHeight="1">
      <c r="A149" s="1"/>
      <c r="B149" s="1"/>
      <c r="C149" s="1"/>
      <c r="D149" s="8"/>
      <c r="E149" s="1"/>
      <c r="F149" s="8"/>
      <c r="G149" s="1"/>
      <c r="H149" s="9"/>
      <c r="I149" s="1"/>
      <c r="J149" s="9"/>
      <c r="K149" s="1"/>
      <c r="L149" s="9"/>
      <c r="M149" s="1"/>
      <c r="N149" s="9"/>
      <c r="O149" s="1"/>
      <c r="P149" s="9"/>
      <c r="Q149" s="148"/>
      <c r="R149" s="456"/>
      <c r="S149" s="456"/>
      <c r="T149" s="456"/>
      <c r="U149" s="456"/>
      <c r="V149" s="166"/>
      <c r="W149" s="25"/>
    </row>
    <row r="150" spans="1:23" ht="13.5" customHeight="1">
      <c r="A150" s="1"/>
      <c r="B150" s="1"/>
      <c r="C150" s="1"/>
      <c r="D150" s="8"/>
      <c r="E150" s="1"/>
      <c r="F150" s="8"/>
      <c r="G150" s="1"/>
      <c r="H150" s="9"/>
      <c r="I150" s="1"/>
      <c r="J150" s="9"/>
      <c r="K150" s="1"/>
      <c r="L150" s="9"/>
      <c r="M150" s="1"/>
      <c r="N150" s="9"/>
      <c r="O150" s="1"/>
      <c r="P150" s="9"/>
      <c r="Q150" s="148"/>
      <c r="R150" s="456"/>
      <c r="S150" s="456"/>
      <c r="T150" s="456"/>
      <c r="U150" s="456"/>
      <c r="V150" s="166"/>
      <c r="W150" s="25"/>
    </row>
    <row r="151" spans="1:23" ht="12.75" customHeight="1">
      <c r="A151" s="1"/>
      <c r="B151" s="1"/>
      <c r="C151" s="1"/>
      <c r="D151" s="8"/>
      <c r="E151" s="1"/>
      <c r="F151" s="8"/>
      <c r="G151" s="1"/>
      <c r="H151" s="9"/>
      <c r="I151" s="1"/>
      <c r="J151" s="9"/>
      <c r="K151" s="1"/>
      <c r="L151" s="9"/>
      <c r="M151" s="1"/>
      <c r="N151" s="9"/>
      <c r="O151" s="1"/>
      <c r="P151" s="9"/>
      <c r="Q151" s="148"/>
      <c r="R151" s="456"/>
      <c r="S151" s="456"/>
      <c r="T151" s="456"/>
      <c r="U151" s="456"/>
      <c r="V151" s="166"/>
      <c r="W151" s="25"/>
    </row>
    <row r="152" spans="1:23" ht="12.75" customHeight="1">
      <c r="A152" s="1"/>
      <c r="B152" s="1"/>
      <c r="C152" s="1"/>
      <c r="D152" s="8"/>
      <c r="E152" s="1"/>
      <c r="F152" s="8"/>
      <c r="G152" s="1"/>
      <c r="H152" s="9"/>
      <c r="I152" s="1"/>
      <c r="J152" s="9"/>
      <c r="K152" s="1"/>
      <c r="L152" s="9"/>
      <c r="M152" s="1"/>
      <c r="N152" s="9"/>
      <c r="O152" s="1"/>
      <c r="P152" s="9"/>
      <c r="Q152" s="148"/>
      <c r="R152" s="456"/>
      <c r="S152" s="456"/>
      <c r="T152" s="456"/>
      <c r="U152" s="456"/>
      <c r="V152" s="166"/>
      <c r="W152" s="25"/>
    </row>
    <row r="153" spans="1:23" ht="12" customHeight="1">
      <c r="A153" s="1"/>
      <c r="B153" s="1"/>
      <c r="C153" s="1"/>
      <c r="D153" s="8"/>
      <c r="E153" s="1"/>
      <c r="F153" s="8"/>
      <c r="G153" s="1"/>
      <c r="H153" s="9"/>
      <c r="I153" s="1"/>
      <c r="J153" s="9"/>
      <c r="K153" s="1"/>
      <c r="L153" s="9"/>
      <c r="M153" s="1"/>
      <c r="N153" s="9"/>
      <c r="O153" s="1"/>
      <c r="P153" s="9"/>
      <c r="Q153" s="148"/>
      <c r="R153" s="456"/>
      <c r="S153" s="456"/>
      <c r="T153" s="456"/>
      <c r="U153" s="456"/>
      <c r="V153" s="166"/>
      <c r="W153" s="25"/>
    </row>
    <row r="154" spans="1:23" ht="12.75" customHeight="1">
      <c r="A154" s="1"/>
      <c r="B154" s="1"/>
      <c r="C154" s="1"/>
      <c r="D154" s="8"/>
      <c r="E154" s="1"/>
      <c r="F154" s="8"/>
      <c r="G154" s="1"/>
      <c r="H154" s="9"/>
      <c r="I154" s="1"/>
      <c r="J154" s="9"/>
      <c r="K154" s="1"/>
      <c r="L154" s="9"/>
      <c r="M154" s="1"/>
      <c r="N154" s="9"/>
      <c r="O154" s="1"/>
      <c r="P154" s="9"/>
      <c r="Q154" s="148"/>
      <c r="R154" s="456"/>
      <c r="S154" s="456"/>
      <c r="T154" s="456"/>
      <c r="U154" s="456"/>
      <c r="V154" s="166"/>
      <c r="W154" s="25"/>
    </row>
    <row r="155" spans="1:23" ht="12.75" customHeight="1">
      <c r="A155" s="1"/>
      <c r="B155" s="1"/>
      <c r="C155" s="1"/>
      <c r="D155" s="8"/>
      <c r="E155" s="1"/>
      <c r="F155" s="8"/>
      <c r="G155" s="1"/>
      <c r="H155" s="9"/>
      <c r="I155" s="1"/>
      <c r="J155" s="9"/>
      <c r="K155" s="1"/>
      <c r="L155" s="9"/>
      <c r="M155" s="1"/>
      <c r="N155" s="9"/>
      <c r="O155" s="1"/>
      <c r="P155" s="9"/>
      <c r="Q155" s="148"/>
      <c r="R155" s="456"/>
      <c r="S155" s="456"/>
      <c r="T155" s="456"/>
      <c r="U155" s="456"/>
      <c r="V155" s="166"/>
      <c r="W155" s="25"/>
    </row>
    <row r="156" spans="1:23" ht="12.75" customHeight="1">
      <c r="A156" s="1"/>
      <c r="B156" s="1"/>
      <c r="C156" s="1"/>
      <c r="D156" s="8"/>
      <c r="E156" s="1"/>
      <c r="F156" s="8"/>
      <c r="G156" s="1"/>
      <c r="H156" s="9"/>
      <c r="I156" s="1"/>
      <c r="J156" s="9"/>
      <c r="K156" s="1"/>
      <c r="L156" s="9"/>
      <c r="M156" s="1"/>
      <c r="N156" s="9"/>
      <c r="O156" s="1"/>
      <c r="P156" s="9"/>
      <c r="Q156" s="148"/>
      <c r="R156" s="456"/>
      <c r="S156" s="456"/>
      <c r="T156" s="456"/>
      <c r="U156" s="456"/>
      <c r="V156" s="166"/>
      <c r="W156" s="25"/>
    </row>
    <row r="157" spans="1:23" ht="12.75" customHeight="1">
      <c r="A157" s="1"/>
      <c r="B157" s="1"/>
      <c r="C157" s="1"/>
      <c r="D157" s="8"/>
      <c r="E157" s="1"/>
      <c r="F157" s="8"/>
      <c r="G157" s="1"/>
      <c r="H157" s="9"/>
      <c r="I157" s="1"/>
      <c r="J157" s="9"/>
      <c r="K157" s="1"/>
      <c r="L157" s="9"/>
      <c r="M157" s="1"/>
      <c r="N157" s="9"/>
      <c r="O157" s="1"/>
      <c r="P157" s="9"/>
      <c r="Q157" s="148"/>
      <c r="R157" s="456"/>
      <c r="S157" s="456"/>
      <c r="T157" s="456"/>
      <c r="U157" s="456"/>
      <c r="V157" s="166"/>
      <c r="W157" s="25"/>
    </row>
    <row r="158" spans="1:23" ht="12.75" customHeight="1">
      <c r="A158" s="1"/>
      <c r="B158" s="1"/>
      <c r="C158" s="1"/>
      <c r="D158" s="8"/>
      <c r="E158" s="1"/>
      <c r="F158" s="8"/>
      <c r="G158" s="1"/>
      <c r="H158" s="9"/>
      <c r="I158" s="1"/>
      <c r="J158" s="9"/>
      <c r="K158" s="1"/>
      <c r="L158" s="9"/>
      <c r="M158" s="1"/>
      <c r="N158" s="9"/>
      <c r="O158" s="1"/>
      <c r="P158" s="9"/>
      <c r="Q158" s="148"/>
      <c r="R158" s="456"/>
      <c r="S158" s="456"/>
      <c r="T158" s="456"/>
      <c r="U158" s="456"/>
      <c r="V158" s="166"/>
      <c r="W158" s="25"/>
    </row>
    <row r="159" spans="1:23" ht="12" customHeight="1">
      <c r="A159" s="1"/>
      <c r="B159" s="1"/>
      <c r="C159" s="1"/>
      <c r="D159" s="8"/>
      <c r="E159" s="1"/>
      <c r="F159" s="8"/>
      <c r="G159" s="1"/>
      <c r="H159" s="9"/>
      <c r="I159" s="1"/>
      <c r="J159" s="9"/>
      <c r="K159" s="1"/>
      <c r="L159" s="9"/>
      <c r="M159" s="1"/>
      <c r="N159" s="9"/>
      <c r="O159" s="1"/>
      <c r="P159" s="9"/>
      <c r="Q159" s="148"/>
      <c r="R159" s="456"/>
      <c r="S159" s="456"/>
      <c r="T159" s="456"/>
      <c r="U159" s="456"/>
      <c r="V159" s="166"/>
      <c r="W159" s="25"/>
    </row>
    <row r="160" spans="1:23" ht="12.75" customHeight="1">
      <c r="A160" s="1"/>
      <c r="B160" s="1"/>
      <c r="C160" s="1"/>
      <c r="D160" s="8"/>
      <c r="E160" s="1"/>
      <c r="F160" s="8"/>
      <c r="G160" s="1"/>
      <c r="H160" s="9"/>
      <c r="I160" s="1"/>
      <c r="J160" s="9"/>
      <c r="K160" s="1"/>
      <c r="L160" s="9"/>
      <c r="M160" s="1"/>
      <c r="N160" s="9"/>
      <c r="O160" s="1"/>
      <c r="P160" s="9"/>
      <c r="Q160" s="148"/>
      <c r="R160" s="456"/>
      <c r="S160" s="456"/>
      <c r="T160" s="456"/>
      <c r="U160" s="456"/>
      <c r="V160" s="166"/>
      <c r="W160" s="25"/>
    </row>
    <row r="161" spans="1:23" ht="13.5" customHeight="1">
      <c r="A161" s="1"/>
      <c r="B161" s="1"/>
      <c r="C161" s="1"/>
      <c r="D161" s="8"/>
      <c r="E161" s="1"/>
      <c r="F161" s="8"/>
      <c r="G161" s="1"/>
      <c r="H161" s="9"/>
      <c r="I161" s="1"/>
      <c r="J161" s="9"/>
      <c r="K161" s="1"/>
      <c r="L161" s="9"/>
      <c r="M161" s="1"/>
      <c r="N161" s="9"/>
      <c r="O161" s="1"/>
      <c r="P161" s="9"/>
      <c r="Q161" s="148"/>
      <c r="R161" s="456"/>
      <c r="S161" s="456"/>
      <c r="T161" s="456"/>
      <c r="U161" s="456"/>
      <c r="V161" s="166"/>
      <c r="W161" s="25"/>
    </row>
    <row r="162" spans="1:23" ht="12.75" customHeight="1">
      <c r="A162" s="1"/>
      <c r="B162" s="1"/>
      <c r="C162" s="1"/>
      <c r="D162" s="8"/>
      <c r="E162" s="1"/>
      <c r="F162" s="8"/>
      <c r="G162" s="1"/>
      <c r="H162" s="9"/>
      <c r="I162" s="1"/>
      <c r="J162" s="9"/>
      <c r="K162" s="1"/>
      <c r="L162" s="9"/>
      <c r="M162" s="1"/>
      <c r="N162" s="9"/>
      <c r="O162" s="1"/>
      <c r="P162" s="9"/>
      <c r="Q162" s="148"/>
      <c r="R162" s="456"/>
      <c r="S162" s="456"/>
      <c r="T162" s="456"/>
      <c r="U162" s="456"/>
      <c r="V162" s="166"/>
      <c r="W162" s="25"/>
    </row>
    <row r="163" spans="1:23" ht="14.25" customHeight="1">
      <c r="A163" s="1"/>
      <c r="B163" s="1"/>
      <c r="C163" s="1"/>
      <c r="D163" s="8"/>
      <c r="E163" s="1"/>
      <c r="F163" s="8"/>
      <c r="G163" s="1"/>
      <c r="H163" s="9"/>
      <c r="I163" s="1"/>
      <c r="J163" s="9"/>
      <c r="K163" s="1"/>
      <c r="L163" s="9"/>
      <c r="M163" s="1"/>
      <c r="N163" s="9"/>
      <c r="O163" s="1"/>
      <c r="P163" s="9"/>
      <c r="Q163" s="148"/>
      <c r="R163" s="456"/>
      <c r="S163" s="456"/>
      <c r="T163" s="456"/>
      <c r="U163" s="456"/>
      <c r="V163" s="166"/>
      <c r="W163" s="25"/>
    </row>
    <row r="164" spans="1:23" ht="12.75" customHeight="1">
      <c r="A164" s="1"/>
      <c r="B164" s="1"/>
      <c r="C164" s="1"/>
      <c r="D164" s="8"/>
      <c r="E164" s="1"/>
      <c r="F164" s="8"/>
      <c r="G164" s="1"/>
      <c r="H164" s="9"/>
      <c r="I164" s="1"/>
      <c r="J164" s="9"/>
      <c r="K164" s="1"/>
      <c r="L164" s="9"/>
      <c r="M164" s="1"/>
      <c r="N164" s="9"/>
      <c r="O164" s="1"/>
      <c r="P164" s="9"/>
      <c r="Q164" s="148"/>
      <c r="R164" s="456"/>
      <c r="S164" s="456"/>
      <c r="T164" s="456"/>
      <c r="U164" s="456"/>
      <c r="V164" s="166"/>
      <c r="W164" s="25"/>
    </row>
    <row r="165" spans="1:23" ht="13.5" customHeight="1">
      <c r="A165" s="1"/>
      <c r="B165" s="1"/>
      <c r="C165" s="1"/>
      <c r="D165" s="8"/>
      <c r="E165" s="1"/>
      <c r="F165" s="8"/>
      <c r="G165" s="1"/>
      <c r="H165" s="9"/>
      <c r="I165" s="1"/>
      <c r="J165" s="9"/>
      <c r="K165" s="1"/>
      <c r="L165" s="9"/>
      <c r="M165" s="1"/>
      <c r="N165" s="9"/>
      <c r="O165" s="1"/>
      <c r="P165" s="9"/>
      <c r="Q165" s="148"/>
      <c r="R165" s="456"/>
      <c r="S165" s="456"/>
      <c r="T165" s="456"/>
      <c r="U165" s="456"/>
      <c r="V165" s="166"/>
      <c r="W165" s="25"/>
    </row>
    <row r="166" spans="1:23" ht="13.5" customHeight="1">
      <c r="A166" s="1"/>
      <c r="B166" s="1"/>
      <c r="C166" s="1"/>
      <c r="D166" s="8"/>
      <c r="E166" s="1"/>
      <c r="F166" s="8"/>
      <c r="G166" s="1"/>
      <c r="H166" s="9"/>
      <c r="I166" s="1"/>
      <c r="J166" s="9"/>
      <c r="K166" s="1"/>
      <c r="L166" s="9"/>
      <c r="M166" s="1"/>
      <c r="N166" s="9"/>
      <c r="O166" s="1"/>
      <c r="P166" s="9"/>
      <c r="Q166" s="148"/>
      <c r="R166" s="456"/>
      <c r="S166" s="456"/>
      <c r="T166" s="456"/>
      <c r="U166" s="456"/>
      <c r="V166" s="166"/>
      <c r="W166" s="25"/>
    </row>
    <row r="167" spans="1:23" ht="12.75" customHeight="1">
      <c r="A167" s="1"/>
      <c r="B167" s="1"/>
      <c r="C167" s="1"/>
      <c r="D167" s="8"/>
      <c r="E167" s="1"/>
      <c r="F167" s="8"/>
      <c r="G167" s="1"/>
      <c r="H167" s="9"/>
      <c r="I167" s="1"/>
      <c r="J167" s="9"/>
      <c r="K167" s="1"/>
      <c r="L167" s="9"/>
      <c r="M167" s="1"/>
      <c r="N167" s="9"/>
      <c r="O167" s="1"/>
      <c r="P167" s="9"/>
      <c r="Q167" s="148"/>
      <c r="R167" s="456"/>
      <c r="S167" s="456"/>
      <c r="T167" s="456"/>
      <c r="U167" s="456"/>
      <c r="V167" s="166"/>
      <c r="W167" s="25"/>
    </row>
    <row r="168" spans="1:23" ht="14.25" customHeight="1">
      <c r="A168" s="1"/>
      <c r="B168" s="1"/>
      <c r="C168" s="1"/>
      <c r="D168" s="455"/>
      <c r="E168" s="324"/>
      <c r="F168" s="324"/>
      <c r="G168" s="324"/>
      <c r="H168" s="324"/>
      <c r="I168" s="324"/>
      <c r="J168" s="324"/>
      <c r="K168" s="324"/>
      <c r="L168" s="324"/>
      <c r="M168" s="324"/>
      <c r="N168" s="324"/>
      <c r="O168" s="324"/>
      <c r="P168" s="324"/>
      <c r="Q168" s="165"/>
      <c r="R168" s="456"/>
      <c r="S168" s="456"/>
      <c r="T168" s="456"/>
      <c r="U168" s="456"/>
      <c r="V168" s="166"/>
      <c r="W168" s="25"/>
    </row>
    <row r="169" spans="1:23" ht="12" customHeight="1">
      <c r="A169" s="1"/>
      <c r="B169" s="1"/>
      <c r="C169" s="1"/>
      <c r="D169" s="319"/>
      <c r="E169" s="319"/>
      <c r="F169" s="319"/>
      <c r="G169" s="319"/>
      <c r="H169" s="319"/>
      <c r="I169" s="319"/>
      <c r="J169" s="319"/>
      <c r="K169" s="319"/>
      <c r="L169" s="319"/>
      <c r="M169" s="319"/>
      <c r="N169" s="319"/>
      <c r="O169" s="319"/>
      <c r="P169" s="319"/>
      <c r="Q169" s="319"/>
      <c r="R169" s="319"/>
      <c r="S169" s="319"/>
      <c r="T169" s="319"/>
      <c r="U169" s="1"/>
      <c r="V169" s="166"/>
      <c r="W169" s="25"/>
    </row>
    <row r="170" spans="1:23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66"/>
      <c r="W170" s="25"/>
    </row>
    <row r="171" spans="1:23" ht="27" customHeight="1">
      <c r="A171" s="1"/>
      <c r="B171" s="1"/>
      <c r="C171" s="1"/>
      <c r="D171" s="9"/>
      <c r="E171" s="1"/>
      <c r="F171" s="9"/>
      <c r="G171" s="1"/>
      <c r="H171" s="9"/>
      <c r="I171" s="1"/>
      <c r="J171" s="9"/>
      <c r="K171" s="1"/>
      <c r="L171" s="9"/>
      <c r="M171" s="1"/>
      <c r="N171" s="9"/>
      <c r="O171" s="1"/>
      <c r="P171" s="9"/>
      <c r="Q171" s="228"/>
      <c r="R171" s="458"/>
      <c r="S171" s="458"/>
      <c r="T171" s="458"/>
      <c r="U171" s="458"/>
      <c r="V171" s="166"/>
      <c r="W171" s="25"/>
    </row>
    <row r="172" spans="1:23" ht="12.75" customHeight="1">
      <c r="A172" s="1"/>
      <c r="B172" s="1"/>
      <c r="C172" s="1"/>
      <c r="D172" s="8"/>
      <c r="E172" s="1"/>
      <c r="F172" s="8"/>
      <c r="G172" s="1"/>
      <c r="H172" s="9"/>
      <c r="I172" s="1"/>
      <c r="J172" s="9"/>
      <c r="K172" s="1"/>
      <c r="L172" s="9"/>
      <c r="M172" s="1"/>
      <c r="N172" s="9"/>
      <c r="O172" s="1"/>
      <c r="P172" s="9"/>
      <c r="Q172" s="229"/>
      <c r="R172" s="456"/>
      <c r="S172" s="456"/>
      <c r="T172" s="456"/>
      <c r="U172" s="456"/>
      <c r="V172" s="166"/>
      <c r="W172" s="25"/>
    </row>
    <row r="173" spans="1:23" ht="14.25" customHeight="1">
      <c r="A173" s="1"/>
      <c r="B173" s="1"/>
      <c r="C173" s="1"/>
      <c r="D173" s="8"/>
      <c r="E173" s="1"/>
      <c r="F173" s="8"/>
      <c r="G173" s="1"/>
      <c r="H173" s="9"/>
      <c r="I173" s="1"/>
      <c r="J173" s="9"/>
      <c r="K173" s="1"/>
      <c r="L173" s="9"/>
      <c r="M173" s="1"/>
      <c r="N173" s="9"/>
      <c r="O173" s="1"/>
      <c r="P173" s="9"/>
      <c r="Q173" s="229"/>
      <c r="R173" s="456"/>
      <c r="S173" s="456"/>
      <c r="T173" s="456"/>
      <c r="U173" s="456"/>
      <c r="V173" s="166"/>
      <c r="W173" s="25"/>
    </row>
    <row r="174" spans="1:23" ht="12.75" customHeight="1">
      <c r="A174" s="1"/>
      <c r="B174" s="1"/>
      <c r="C174" s="1"/>
      <c r="D174" s="8"/>
      <c r="E174" s="1"/>
      <c r="F174" s="230"/>
      <c r="G174" s="1"/>
      <c r="H174" s="9"/>
      <c r="I174" s="1"/>
      <c r="J174" s="9"/>
      <c r="K174" s="1"/>
      <c r="L174" s="9"/>
      <c r="M174" s="1"/>
      <c r="N174" s="9"/>
      <c r="O174" s="1"/>
      <c r="P174" s="9"/>
      <c r="Q174" s="229"/>
      <c r="R174" s="456"/>
      <c r="S174" s="456"/>
      <c r="T174" s="456"/>
      <c r="U174" s="456"/>
      <c r="V174" s="166"/>
      <c r="W174" s="25"/>
    </row>
    <row r="175" spans="1:23" ht="12.75" customHeight="1">
      <c r="A175" s="1"/>
      <c r="B175" s="1"/>
      <c r="C175" s="1"/>
      <c r="D175" s="8"/>
      <c r="E175" s="1"/>
      <c r="F175" s="8"/>
      <c r="G175" s="1"/>
      <c r="H175" s="9"/>
      <c r="I175" s="1"/>
      <c r="J175" s="9"/>
      <c r="K175" s="1"/>
      <c r="L175" s="9"/>
      <c r="M175" s="1"/>
      <c r="N175" s="9"/>
      <c r="O175" s="1"/>
      <c r="P175" s="9"/>
      <c r="Q175" s="229"/>
      <c r="R175" s="456"/>
      <c r="S175" s="456"/>
      <c r="T175" s="456"/>
      <c r="U175" s="456"/>
      <c r="V175" s="166"/>
      <c r="W175" s="25"/>
    </row>
    <row r="176" spans="1:23" ht="13.5" customHeight="1">
      <c r="A176" s="1"/>
      <c r="B176" s="1"/>
      <c r="C176" s="1"/>
      <c r="D176" s="8"/>
      <c r="E176" s="1"/>
      <c r="F176" s="8"/>
      <c r="G176" s="1"/>
      <c r="H176" s="9"/>
      <c r="I176" s="1"/>
      <c r="J176" s="9"/>
      <c r="K176" s="1"/>
      <c r="L176" s="9"/>
      <c r="M176" s="1"/>
      <c r="N176" s="9"/>
      <c r="O176" s="1"/>
      <c r="P176" s="9"/>
      <c r="Q176" s="229"/>
      <c r="R176" s="456"/>
      <c r="S176" s="456"/>
      <c r="T176" s="456"/>
      <c r="U176" s="456"/>
      <c r="V176" s="166"/>
      <c r="W176" s="25"/>
    </row>
    <row r="177" spans="1:23" ht="15.75" customHeight="1">
      <c r="A177" s="1"/>
      <c r="B177" s="1"/>
      <c r="C177" s="1"/>
      <c r="D177" s="8"/>
      <c r="E177" s="1"/>
      <c r="F177" s="231"/>
      <c r="G177" s="1"/>
      <c r="H177" s="9"/>
      <c r="I177" s="1"/>
      <c r="J177" s="9"/>
      <c r="K177" s="1"/>
      <c r="L177" s="9"/>
      <c r="M177" s="1"/>
      <c r="N177" s="9"/>
      <c r="O177" s="1"/>
      <c r="P177" s="9"/>
      <c r="Q177" s="229"/>
      <c r="R177" s="456"/>
      <c r="S177" s="456"/>
      <c r="T177" s="456"/>
      <c r="U177" s="456"/>
      <c r="V177" s="166"/>
      <c r="W177" s="25"/>
    </row>
    <row r="178" spans="1:23" ht="13.5" customHeight="1">
      <c r="A178" s="1"/>
      <c r="B178" s="1"/>
      <c r="C178" s="1"/>
      <c r="D178" s="8"/>
      <c r="E178" s="1"/>
      <c r="F178" s="230"/>
      <c r="G178" s="1"/>
      <c r="H178" s="9"/>
      <c r="I178" s="1"/>
      <c r="J178" s="9"/>
      <c r="K178" s="1"/>
      <c r="L178" s="9"/>
      <c r="M178" s="1"/>
      <c r="N178" s="9"/>
      <c r="O178" s="1"/>
      <c r="P178" s="9"/>
      <c r="Q178" s="229"/>
      <c r="R178" s="456"/>
      <c r="S178" s="456"/>
      <c r="T178" s="456"/>
      <c r="U178" s="456"/>
      <c r="V178" s="166"/>
      <c r="W178" s="25"/>
    </row>
    <row r="179" spans="1:23" ht="12.75" customHeight="1">
      <c r="A179" s="1"/>
      <c r="B179" s="1"/>
      <c r="C179" s="1"/>
      <c r="D179" s="8"/>
      <c r="E179" s="1"/>
      <c r="F179" s="8"/>
      <c r="G179" s="1"/>
      <c r="H179" s="9"/>
      <c r="I179" s="1"/>
      <c r="J179" s="9"/>
      <c r="K179" s="1"/>
      <c r="L179" s="9"/>
      <c r="M179" s="1"/>
      <c r="N179" s="9"/>
      <c r="O179" s="1"/>
      <c r="P179" s="9"/>
      <c r="Q179" s="229"/>
      <c r="R179" s="456"/>
      <c r="S179" s="456"/>
      <c r="T179" s="456"/>
      <c r="U179" s="456"/>
      <c r="V179" s="166"/>
      <c r="W179" s="25"/>
    </row>
    <row r="180" spans="1:23" ht="14.25" customHeight="1">
      <c r="A180" s="1"/>
      <c r="B180" s="1"/>
      <c r="C180" s="1"/>
      <c r="D180" s="8"/>
      <c r="E180" s="1"/>
      <c r="F180" s="8"/>
      <c r="G180" s="1"/>
      <c r="H180" s="9"/>
      <c r="I180" s="1"/>
      <c r="J180" s="9"/>
      <c r="K180" s="1"/>
      <c r="L180" s="9"/>
      <c r="M180" s="1"/>
      <c r="N180" s="9"/>
      <c r="O180" s="1"/>
      <c r="P180" s="9"/>
      <c r="Q180" s="229"/>
      <c r="R180" s="456"/>
      <c r="S180" s="456"/>
      <c r="T180" s="456"/>
      <c r="U180" s="456"/>
      <c r="V180" s="166"/>
      <c r="W180" s="25"/>
    </row>
    <row r="181" spans="1:23" ht="18.75" customHeight="1">
      <c r="A181" s="1"/>
      <c r="B181" s="1"/>
      <c r="C181" s="1"/>
      <c r="D181" s="455"/>
      <c r="E181" s="324"/>
      <c r="F181" s="324"/>
      <c r="G181" s="324"/>
      <c r="H181" s="324"/>
      <c r="I181" s="324"/>
      <c r="J181" s="324"/>
      <c r="K181" s="324"/>
      <c r="L181" s="324"/>
      <c r="M181" s="324"/>
      <c r="N181" s="324"/>
      <c r="O181" s="324"/>
      <c r="P181" s="324"/>
      <c r="Q181" s="165"/>
      <c r="R181" s="456"/>
      <c r="S181" s="456"/>
      <c r="T181" s="456"/>
      <c r="U181" s="456"/>
      <c r="V181" s="166"/>
      <c r="W181" s="25"/>
    </row>
    <row r="182" spans="1:23" ht="23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25"/>
      <c r="W182" s="25"/>
    </row>
    <row r="183" spans="1:23" ht="21" customHeight="1">
      <c r="A183" s="1"/>
      <c r="B183" s="1"/>
      <c r="C183" s="1"/>
      <c r="D183" s="457"/>
      <c r="E183" s="457"/>
      <c r="F183" s="457"/>
      <c r="G183" s="457"/>
      <c r="H183" s="457"/>
      <c r="I183" s="457"/>
      <c r="J183" s="457"/>
      <c r="K183" s="457"/>
      <c r="L183" s="457"/>
      <c r="M183" s="457"/>
      <c r="N183" s="457"/>
      <c r="O183" s="457"/>
      <c r="P183" s="457"/>
      <c r="Q183" s="12"/>
      <c r="R183" s="1"/>
      <c r="S183" s="1"/>
      <c r="T183" s="1"/>
      <c r="U183" s="1"/>
      <c r="V183" s="25"/>
      <c r="W183" s="25"/>
    </row>
    <row r="184" spans="1:23" ht="25.5" customHeight="1">
      <c r="A184" s="1"/>
      <c r="B184" s="1"/>
      <c r="C184" s="1"/>
      <c r="D184" s="455"/>
      <c r="E184" s="455"/>
      <c r="F184" s="455"/>
      <c r="G184" s="455"/>
      <c r="H184" s="455"/>
      <c r="I184" s="455"/>
      <c r="J184" s="455"/>
      <c r="K184" s="455"/>
      <c r="L184" s="455"/>
      <c r="M184" s="455"/>
      <c r="N184" s="455"/>
      <c r="O184" s="455"/>
      <c r="P184" s="455"/>
      <c r="Q184" s="12"/>
      <c r="R184" s="1"/>
      <c r="S184" s="1"/>
      <c r="T184" s="1"/>
      <c r="U184" s="1"/>
      <c r="V184" s="25"/>
      <c r="W184" s="25"/>
    </row>
    <row r="185" spans="1:23" ht="6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3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</sheetData>
  <mergeCells count="218">
    <mergeCell ref="D67:P67"/>
    <mergeCell ref="D68:P68"/>
    <mergeCell ref="D69:P69"/>
    <mergeCell ref="V99:W100"/>
    <mergeCell ref="Q100:U100"/>
    <mergeCell ref="D87:T87"/>
    <mergeCell ref="V87:X88"/>
    <mergeCell ref="R89:U89"/>
    <mergeCell ref="R90:U90"/>
    <mergeCell ref="D99:P99"/>
    <mergeCell ref="D48:P48"/>
    <mergeCell ref="V61:X62"/>
    <mergeCell ref="D62:P62"/>
    <mergeCell ref="R62:U62"/>
    <mergeCell ref="R51:U51"/>
    <mergeCell ref="R52:U52"/>
    <mergeCell ref="R60:U60"/>
    <mergeCell ref="R50:U50"/>
    <mergeCell ref="R55:U55"/>
    <mergeCell ref="R56:U56"/>
    <mergeCell ref="R28:U28"/>
    <mergeCell ref="D33:P33"/>
    <mergeCell ref="D40:P40"/>
    <mergeCell ref="R40:U40"/>
    <mergeCell ref="V40:X41"/>
    <mergeCell ref="D41:P41"/>
    <mergeCell ref="R41:U41"/>
    <mergeCell ref="R35:U35"/>
    <mergeCell ref="R39:U39"/>
    <mergeCell ref="D34:F34"/>
    <mergeCell ref="R37:U37"/>
    <mergeCell ref="D75:P75"/>
    <mergeCell ref="R78:U78"/>
    <mergeCell ref="D82:P82"/>
    <mergeCell ref="D83:P83"/>
    <mergeCell ref="D79:P79"/>
    <mergeCell ref="R79:X80"/>
    <mergeCell ref="D80:P80"/>
    <mergeCell ref="D81:P81"/>
    <mergeCell ref="D78:P78"/>
    <mergeCell ref="C1:R1"/>
    <mergeCell ref="V1:X4"/>
    <mergeCell ref="D3:T3"/>
    <mergeCell ref="R5:U5"/>
    <mergeCell ref="R44:X45"/>
    <mergeCell ref="D45:P45"/>
    <mergeCell ref="D46:P46"/>
    <mergeCell ref="D42:P42"/>
    <mergeCell ref="R42:U42"/>
    <mergeCell ref="D43:P43"/>
    <mergeCell ref="R43:U43"/>
    <mergeCell ref="V12:X13"/>
    <mergeCell ref="D13:P13"/>
    <mergeCell ref="D14:P14"/>
    <mergeCell ref="D15:P15"/>
    <mergeCell ref="D12:P12"/>
    <mergeCell ref="R12:U12"/>
    <mergeCell ref="R13:U13"/>
    <mergeCell ref="R14:U14"/>
    <mergeCell ref="R15:U15"/>
    <mergeCell ref="D25:P25"/>
    <mergeCell ref="R25:U25"/>
    <mergeCell ref="V25:X26"/>
    <mergeCell ref="D26:P26"/>
    <mergeCell ref="V110:V111"/>
    <mergeCell ref="V112:V113"/>
    <mergeCell ref="V114:V115"/>
    <mergeCell ref="D6:F6"/>
    <mergeCell ref="C103:R103"/>
    <mergeCell ref="D105:T105"/>
    <mergeCell ref="R99:U99"/>
    <mergeCell ref="R91:U91"/>
    <mergeCell ref="R92:U92"/>
    <mergeCell ref="R93:U93"/>
    <mergeCell ref="R7:U7"/>
    <mergeCell ref="R8:U8"/>
    <mergeCell ref="R9:U9"/>
    <mergeCell ref="R10:U10"/>
    <mergeCell ref="D61:P61"/>
    <mergeCell ref="R61:U61"/>
    <mergeCell ref="D64:P64"/>
    <mergeCell ref="R64:U64"/>
    <mergeCell ref="D65:P65"/>
    <mergeCell ref="R65:X66"/>
    <mergeCell ref="D63:P63"/>
    <mergeCell ref="R63:U63"/>
    <mergeCell ref="D66:P66"/>
    <mergeCell ref="V75:X76"/>
    <mergeCell ref="R53:U53"/>
    <mergeCell ref="R54:U54"/>
    <mergeCell ref="R57:U57"/>
    <mergeCell ref="D19:P19"/>
    <mergeCell ref="C135:R135"/>
    <mergeCell ref="D137:T137"/>
    <mergeCell ref="D169:T169"/>
    <mergeCell ref="D130:U130"/>
    <mergeCell ref="R124:U124"/>
    <mergeCell ref="D128:P128"/>
    <mergeCell ref="R128:U128"/>
    <mergeCell ref="R125:U125"/>
    <mergeCell ref="R126:U126"/>
    <mergeCell ref="D129:S129"/>
    <mergeCell ref="C120:R120"/>
    <mergeCell ref="Q114:Q115"/>
    <mergeCell ref="R110:U111"/>
    <mergeCell ref="R112:U113"/>
    <mergeCell ref="R114:U115"/>
    <mergeCell ref="D122:T122"/>
    <mergeCell ref="D76:P76"/>
    <mergeCell ref="R76:U76"/>
    <mergeCell ref="D77:P77"/>
    <mergeCell ref="R77:U77"/>
    <mergeCell ref="D21:F21"/>
    <mergeCell ref="R22:U22"/>
    <mergeCell ref="R23:U23"/>
    <mergeCell ref="R24:U24"/>
    <mergeCell ref="D49:F49"/>
    <mergeCell ref="D47:P47"/>
    <mergeCell ref="D44:P44"/>
    <mergeCell ref="R11:U11"/>
    <mergeCell ref="R36:U36"/>
    <mergeCell ref="R38:U38"/>
    <mergeCell ref="D31:P31"/>
    <mergeCell ref="R26:U26"/>
    <mergeCell ref="D16:P16"/>
    <mergeCell ref="R16:X17"/>
    <mergeCell ref="D17:P17"/>
    <mergeCell ref="D18:P18"/>
    <mergeCell ref="D20:P20"/>
    <mergeCell ref="D29:P29"/>
    <mergeCell ref="R29:X30"/>
    <mergeCell ref="D30:P30"/>
    <mergeCell ref="D32:P32"/>
    <mergeCell ref="D27:P27"/>
    <mergeCell ref="R27:U27"/>
    <mergeCell ref="D28:P28"/>
    <mergeCell ref="D168:P168"/>
    <mergeCell ref="R168:U168"/>
    <mergeCell ref="R140:U140"/>
    <mergeCell ref="R141:U141"/>
    <mergeCell ref="R142:U142"/>
    <mergeCell ref="R143:U143"/>
    <mergeCell ref="R144:U144"/>
    <mergeCell ref="R98:U98"/>
    <mergeCell ref="R107:U107"/>
    <mergeCell ref="D117:P117"/>
    <mergeCell ref="R117:U117"/>
    <mergeCell ref="R108:U108"/>
    <mergeCell ref="R109:U109"/>
    <mergeCell ref="D116:P116"/>
    <mergeCell ref="R116:U116"/>
    <mergeCell ref="D113:P113"/>
    <mergeCell ref="D101:P101"/>
    <mergeCell ref="R101:U101"/>
    <mergeCell ref="R145:U145"/>
    <mergeCell ref="R146:U146"/>
    <mergeCell ref="R147:U147"/>
    <mergeCell ref="R148:U148"/>
    <mergeCell ref="R149:U149"/>
    <mergeCell ref="R150:U150"/>
    <mergeCell ref="R132:U132"/>
    <mergeCell ref="R133:U133"/>
    <mergeCell ref="R139:U139"/>
    <mergeCell ref="R157:U157"/>
    <mergeCell ref="R158:U158"/>
    <mergeCell ref="R159:U159"/>
    <mergeCell ref="R160:U160"/>
    <mergeCell ref="R161:U161"/>
    <mergeCell ref="R162:U162"/>
    <mergeCell ref="R151:U151"/>
    <mergeCell ref="R152:U152"/>
    <mergeCell ref="R153:U153"/>
    <mergeCell ref="R154:U154"/>
    <mergeCell ref="R155:U155"/>
    <mergeCell ref="R156:U156"/>
    <mergeCell ref="R163:U163"/>
    <mergeCell ref="R164:U164"/>
    <mergeCell ref="R177:U177"/>
    <mergeCell ref="R165:U165"/>
    <mergeCell ref="R166:U166"/>
    <mergeCell ref="R167:U167"/>
    <mergeCell ref="R171:U171"/>
    <mergeCell ref="R173:U173"/>
    <mergeCell ref="R174:U174"/>
    <mergeCell ref="R175:U175"/>
    <mergeCell ref="R176:U176"/>
    <mergeCell ref="R172:U172"/>
    <mergeCell ref="D184:P184"/>
    <mergeCell ref="R178:U178"/>
    <mergeCell ref="R179:U179"/>
    <mergeCell ref="R180:U180"/>
    <mergeCell ref="D183:P183"/>
    <mergeCell ref="D181:P181"/>
    <mergeCell ref="R181:U181"/>
    <mergeCell ref="D127:P127"/>
    <mergeCell ref="R127:U127"/>
    <mergeCell ref="D100:P100"/>
    <mergeCell ref="R58:U58"/>
    <mergeCell ref="D107:P107"/>
    <mergeCell ref="D108:P108"/>
    <mergeCell ref="D109:P109"/>
    <mergeCell ref="D110:P110"/>
    <mergeCell ref="D111:P111"/>
    <mergeCell ref="D112:P112"/>
    <mergeCell ref="R75:U75"/>
    <mergeCell ref="R84:U84"/>
    <mergeCell ref="R85:U85"/>
    <mergeCell ref="R86:U86"/>
    <mergeCell ref="R94:U94"/>
    <mergeCell ref="R95:U95"/>
    <mergeCell ref="R96:U96"/>
    <mergeCell ref="R97:U97"/>
    <mergeCell ref="R71:U71"/>
    <mergeCell ref="R59:U59"/>
    <mergeCell ref="D70:F70"/>
    <mergeCell ref="R72:U72"/>
    <mergeCell ref="R73:U73"/>
    <mergeCell ref="R74:U74"/>
  </mergeCells>
  <phoneticPr fontId="9" type="noConversion"/>
  <pageMargins left="0.78740157499999996" right="0.78740157499999996" top="0.984251969" bottom="0.984251969" header="0.5" footer="0.5"/>
  <pageSetup scale="73" orientation="landscape" horizontalDpi="300" verticalDpi="300" r:id="rId1"/>
  <headerFooter alignWithMargins="0"/>
  <rowBreaks count="3" manualBreakCount="3">
    <brk id="48" max="16383" man="1"/>
    <brk id="83" max="16383" man="1"/>
    <brk id="11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7"/>
  <sheetViews>
    <sheetView topLeftCell="E73" zoomScale="85" zoomScaleNormal="85" workbookViewId="0">
      <selection activeCell="AA23" sqref="AA23"/>
    </sheetView>
  </sheetViews>
  <sheetFormatPr defaultRowHeight="12.75"/>
  <cols>
    <col min="1" max="3" width="9.140625" hidden="1" customWidth="1"/>
    <col min="4" max="4" width="1.85546875" customWidth="1"/>
    <col min="5" max="5" width="2.28515625" customWidth="1"/>
    <col min="6" max="6" width="5.28515625" customWidth="1"/>
    <col min="7" max="7" width="4.5703125" customWidth="1"/>
    <col min="8" max="9" width="5.85546875" customWidth="1"/>
    <col min="10" max="10" width="7.28515625" customWidth="1"/>
    <col min="17" max="17" width="9.28515625" customWidth="1"/>
    <col min="18" max="18" width="0.28515625" customWidth="1"/>
    <col min="19" max="19" width="2.140625" customWidth="1"/>
    <col min="20" max="20" width="3.7109375" customWidth="1"/>
    <col min="21" max="21" width="6.140625" customWidth="1"/>
    <col min="22" max="22" width="23.42578125" customWidth="1"/>
    <col min="23" max="24" width="22.7109375" customWidth="1"/>
    <col min="25" max="25" width="21.7109375" customWidth="1"/>
    <col min="26" max="26" width="23" customWidth="1"/>
    <col min="27" max="27" width="30.42578125" customWidth="1"/>
    <col min="28" max="28" width="3.42578125" customWidth="1"/>
  </cols>
  <sheetData>
    <row r="1" spans="1:27" ht="20.25" customHeight="1">
      <c r="A1" s="473" t="s">
        <v>386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</row>
    <row r="2" spans="1:27" ht="13.5" customHeight="1" thickBot="1">
      <c r="A2" s="473"/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</row>
    <row r="3" spans="1:27" ht="16.5" thickBot="1">
      <c r="A3" s="511"/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3" t="s">
        <v>400</v>
      </c>
      <c r="T3" s="513"/>
      <c r="U3" s="513"/>
      <c r="V3" s="514"/>
      <c r="W3" s="581" t="s">
        <v>359</v>
      </c>
      <c r="X3" s="544" t="s">
        <v>360</v>
      </c>
      <c r="Y3" s="515" t="s">
        <v>398</v>
      </c>
      <c r="Z3" s="515" t="s">
        <v>399</v>
      </c>
      <c r="AA3" s="571" t="s">
        <v>406</v>
      </c>
    </row>
    <row r="4" spans="1:27" ht="16.5" thickBot="1">
      <c r="A4" s="511"/>
      <c r="B4" s="512"/>
      <c r="C4" s="512"/>
      <c r="D4" s="512"/>
      <c r="E4" s="517" t="s">
        <v>361</v>
      </c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8">
        <f>[1]IndicadoresAgregado!R19</f>
        <v>1048.83295</v>
      </c>
      <c r="S4" s="519">
        <f>(R4/R22)</f>
        <v>9.5614480123799167E-2</v>
      </c>
      <c r="T4" s="519"/>
      <c r="U4" s="519"/>
      <c r="V4" s="520"/>
      <c r="W4" s="582">
        <f>'PART-OCC-UNIR'!Q26</f>
        <v>0.11753673200626809</v>
      </c>
      <c r="X4" s="586">
        <f>(S4*0.8)+(W4*0.2)</f>
        <v>9.999893050029296E-2</v>
      </c>
      <c r="Y4" s="521">
        <f>X4*Y23</f>
        <v>1525146.0283932418</v>
      </c>
      <c r="Z4" s="521">
        <f>X4*Z23</f>
        <v>203997.81822059763</v>
      </c>
      <c r="AA4" s="572">
        <f>X4*AA23</f>
        <v>36605.608498937239</v>
      </c>
    </row>
    <row r="5" spans="1:27" ht="15.75" thickBot="1">
      <c r="A5" s="511"/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83"/>
      <c r="X5" s="583"/>
      <c r="Y5" s="524"/>
      <c r="Z5" s="536"/>
      <c r="AA5" s="572"/>
    </row>
    <row r="6" spans="1:27" ht="16.5" thickBot="1">
      <c r="A6" s="511"/>
      <c r="B6" s="512"/>
      <c r="C6" s="512"/>
      <c r="D6" s="512"/>
      <c r="E6" s="517" t="s">
        <v>362</v>
      </c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8">
        <f>[1]IndicadoresAgregado!R30+[1]IndicadoresAgregado!R34</f>
        <v>685.25540000000012</v>
      </c>
      <c r="S6" s="519">
        <f>(R6/R22)</f>
        <v>6.2469756335387878E-2</v>
      </c>
      <c r="T6" s="519"/>
      <c r="U6" s="519"/>
      <c r="V6" s="520"/>
      <c r="W6" s="582">
        <f>'PART-OCC-UNIR'!Q44</f>
        <v>0.15540950010747867</v>
      </c>
      <c r="X6" s="586">
        <f>(S6*0.8)+(W6*0.2)</f>
        <v>8.1057705089806045E-2</v>
      </c>
      <c r="Y6" s="521">
        <f>X6*Y23</f>
        <v>1236261.5916979851</v>
      </c>
      <c r="Z6" s="521">
        <f>X6*Z23</f>
        <v>165357.71838320434</v>
      </c>
      <c r="AA6" s="572">
        <f>X6*AA23</f>
        <v>29671.983525174401</v>
      </c>
    </row>
    <row r="7" spans="1:27" ht="15.75" thickBot="1">
      <c r="A7" s="511"/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512"/>
      <c r="W7" s="583"/>
      <c r="X7" s="583"/>
      <c r="Y7" s="524"/>
      <c r="Z7" s="536"/>
      <c r="AA7" s="572"/>
    </row>
    <row r="8" spans="1:27" ht="16.5" thickBot="1">
      <c r="A8" s="511"/>
      <c r="B8" s="512"/>
      <c r="C8" s="512"/>
      <c r="D8" s="512"/>
      <c r="E8" s="517" t="s">
        <v>363</v>
      </c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7"/>
      <c r="R8" s="518">
        <f>[1]IndicadoresAgregado!R49</f>
        <v>1128.964925</v>
      </c>
      <c r="S8" s="519">
        <f>(R8/R22)</f>
        <v>0.10291953011380785</v>
      </c>
      <c r="T8" s="519"/>
      <c r="U8" s="519"/>
      <c r="V8" s="520"/>
      <c r="W8" s="582">
        <f>'PART-OCC-UNIR'!Q71</f>
        <v>0.11249723515910059</v>
      </c>
      <c r="X8" s="586">
        <f>(S8*0.8)+(W8*0.2)</f>
        <v>0.1048350711228664</v>
      </c>
      <c r="Y8" s="521">
        <f>X8*Y23</f>
        <v>1598905.0238781734</v>
      </c>
      <c r="Z8" s="521">
        <f>X8*Z23</f>
        <v>213863.54509064744</v>
      </c>
      <c r="AA8" s="572">
        <f>X8*AA23</f>
        <v>38375.926135236477</v>
      </c>
    </row>
    <row r="9" spans="1:27" ht="15.75" thickBot="1">
      <c r="A9" s="511"/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83"/>
      <c r="X9" s="583"/>
      <c r="Y9" s="524"/>
      <c r="Z9" s="536"/>
      <c r="AA9" s="572"/>
    </row>
    <row r="10" spans="1:27" ht="16.5" thickBot="1">
      <c r="A10" s="511"/>
      <c r="B10" s="512"/>
      <c r="C10" s="512"/>
      <c r="D10" s="512"/>
      <c r="E10" s="517" t="s">
        <v>364</v>
      </c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517"/>
      <c r="R10" s="518">
        <f>[1]IndicadoresAgregado!R61</f>
        <v>1540.44</v>
      </c>
      <c r="S10" s="519">
        <f>(R10/R22)</f>
        <v>0.14043072327381134</v>
      </c>
      <c r="T10" s="519"/>
      <c r="U10" s="519"/>
      <c r="V10" s="520"/>
      <c r="W10" s="582">
        <f>'PART-OCC-UNIR'!Q90</f>
        <v>0.14504902622408389</v>
      </c>
      <c r="X10" s="586">
        <f>(S10*0.8)+(W10*0.2)</f>
        <v>0.14135438386386584</v>
      </c>
      <c r="Y10" s="521">
        <f>X10*Y23</f>
        <v>2155883.8286307189</v>
      </c>
      <c r="Z10" s="521">
        <f>X10*Z23</f>
        <v>288362.94308228634</v>
      </c>
      <c r="AA10" s="572">
        <f>X10*AA23</f>
        <v>51744.185757206731</v>
      </c>
    </row>
    <row r="11" spans="1:27" ht="15.75" thickBot="1">
      <c r="A11" s="511"/>
      <c r="B11" s="512"/>
      <c r="C11" s="512"/>
      <c r="D11" s="512"/>
      <c r="E11" s="512"/>
      <c r="F11" s="512"/>
      <c r="G11" s="512"/>
      <c r="H11" s="512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2"/>
      <c r="T11" s="512"/>
      <c r="U11" s="512"/>
      <c r="V11" s="512"/>
      <c r="W11" s="583"/>
      <c r="X11" s="583"/>
      <c r="Y11" s="524"/>
      <c r="Z11" s="536"/>
      <c r="AA11" s="572"/>
    </row>
    <row r="12" spans="1:27" ht="16.5" thickBot="1">
      <c r="A12" s="511"/>
      <c r="B12" s="512"/>
      <c r="C12" s="512"/>
      <c r="D12" s="512"/>
      <c r="E12" s="517" t="s">
        <v>365</v>
      </c>
      <c r="F12" s="517"/>
      <c r="G12" s="517"/>
      <c r="H12" s="517"/>
      <c r="I12" s="517"/>
      <c r="J12" s="517"/>
      <c r="K12" s="517"/>
      <c r="L12" s="517"/>
      <c r="M12" s="517"/>
      <c r="N12" s="517"/>
      <c r="O12" s="517"/>
      <c r="P12" s="517"/>
      <c r="Q12" s="517"/>
      <c r="R12" s="518">
        <f>[1]IndicadoresAgregado!R76</f>
        <v>720.26570000000004</v>
      </c>
      <c r="S12" s="519">
        <f>(R12/R22)</f>
        <v>6.5661391031340402E-2</v>
      </c>
      <c r="T12" s="519"/>
      <c r="U12" s="519"/>
      <c r="V12" s="520"/>
      <c r="W12" s="582">
        <f>'PART-OCC-UNIR'!Q113</f>
        <v>0.10393310554064605</v>
      </c>
      <c r="X12" s="586">
        <f>(S12*0.8)+(W12*0.2)</f>
        <v>7.3315733933201538E-2</v>
      </c>
      <c r="Y12" s="521">
        <f>X12*Y23</f>
        <v>1118183.9632437907</v>
      </c>
      <c r="Z12" s="521">
        <f>X12*Z23</f>
        <v>149564.09722373114</v>
      </c>
      <c r="AA12" s="572">
        <f>X12*AA23</f>
        <v>26837.957563587755</v>
      </c>
    </row>
    <row r="13" spans="1:27" ht="15.75" thickBot="1">
      <c r="A13" s="511"/>
      <c r="B13" s="512"/>
      <c r="C13" s="512"/>
      <c r="D13" s="512"/>
      <c r="E13" s="512"/>
      <c r="F13" s="512"/>
      <c r="G13" s="512"/>
      <c r="H13" s="512"/>
      <c r="I13" s="512"/>
      <c r="J13" s="512"/>
      <c r="K13" s="512"/>
      <c r="L13" s="512"/>
      <c r="M13" s="512"/>
      <c r="N13" s="512"/>
      <c r="O13" s="512"/>
      <c r="P13" s="512"/>
      <c r="Q13" s="512"/>
      <c r="R13" s="512"/>
      <c r="S13" s="512"/>
      <c r="T13" s="512"/>
      <c r="U13" s="512"/>
      <c r="V13" s="512"/>
      <c r="W13" s="583"/>
      <c r="X13" s="583"/>
      <c r="Y13" s="524"/>
      <c r="Z13" s="536"/>
      <c r="AA13" s="572"/>
    </row>
    <row r="14" spans="1:27" ht="16.5" thickBot="1">
      <c r="A14" s="511"/>
      <c r="B14" s="512"/>
      <c r="C14" s="512"/>
      <c r="D14" s="512"/>
      <c r="E14" s="517" t="s">
        <v>366</v>
      </c>
      <c r="F14" s="517"/>
      <c r="G14" s="517"/>
      <c r="H14" s="517"/>
      <c r="I14" s="517"/>
      <c r="J14" s="517"/>
      <c r="K14" s="517"/>
      <c r="L14" s="517"/>
      <c r="M14" s="517"/>
      <c r="N14" s="517"/>
      <c r="O14" s="517"/>
      <c r="P14" s="517"/>
      <c r="Q14" s="517"/>
      <c r="R14" s="518">
        <f>[1]IndicadoresAgregado!R88</f>
        <v>375.70500000000004</v>
      </c>
      <c r="S14" s="519">
        <f>(R14/R22)</f>
        <v>3.4250295297179566E-2</v>
      </c>
      <c r="T14" s="519"/>
      <c r="U14" s="519"/>
      <c r="V14" s="520"/>
      <c r="W14" s="582">
        <f>'PART-OCC-UNIR'!Q131</f>
        <v>0.10016326372154166</v>
      </c>
      <c r="X14" s="586">
        <f>(S14*0.8)+(W14*0.2)</f>
        <v>4.7432888982051988E-2</v>
      </c>
      <c r="Y14" s="521">
        <f>X14*Y23</f>
        <v>723428.55952826631</v>
      </c>
      <c r="Z14" s="521">
        <f>X14*Z23</f>
        <v>96763.093523386051</v>
      </c>
      <c r="AA14" s="572">
        <f>X14*AA23</f>
        <v>17363.283340769951</v>
      </c>
    </row>
    <row r="15" spans="1:27" ht="15.75" thickBot="1">
      <c r="A15" s="526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83"/>
      <c r="X15" s="583"/>
      <c r="Y15" s="524"/>
      <c r="Z15" s="536"/>
      <c r="AA15" s="572"/>
    </row>
    <row r="16" spans="1:27" ht="16.5" thickBot="1">
      <c r="A16" s="511"/>
      <c r="B16" s="512"/>
      <c r="C16" s="512"/>
      <c r="D16" s="512"/>
      <c r="E16" s="528" t="s">
        <v>367</v>
      </c>
      <c r="F16" s="528"/>
      <c r="G16" s="528"/>
      <c r="H16" s="528"/>
      <c r="I16" s="528"/>
      <c r="J16" s="528"/>
      <c r="K16" s="528"/>
      <c r="L16" s="528"/>
      <c r="M16" s="528"/>
      <c r="N16" s="528"/>
      <c r="O16" s="528"/>
      <c r="P16" s="528"/>
      <c r="Q16" s="528"/>
      <c r="R16" s="529">
        <f>[1]IndicadoresAgregado!R93</f>
        <v>316.8</v>
      </c>
      <c r="S16" s="519">
        <f>(R16/R22)</f>
        <v>2.888035440078382E-2</v>
      </c>
      <c r="T16" s="519"/>
      <c r="U16" s="519"/>
      <c r="V16" s="520"/>
      <c r="W16" s="582">
        <f>'PART-OCC-UNIR'!Q145</f>
        <v>0.11552099472087604</v>
      </c>
      <c r="X16" s="586">
        <f>(S16*0.8)+(W16*0.2)</f>
        <v>4.6208482464802268E-2</v>
      </c>
      <c r="Y16" s="521">
        <f>X16*Y23</f>
        <v>704754.37243866792</v>
      </c>
      <c r="Z16" s="521">
        <f>X16*Z23</f>
        <v>94265.304228196634</v>
      </c>
      <c r="AA16" s="572">
        <f>X16*AA23</f>
        <v>16915.077091065519</v>
      </c>
    </row>
    <row r="17" spans="1:27" ht="15.75" thickBot="1">
      <c r="A17" s="511"/>
      <c r="B17" s="512"/>
      <c r="C17" s="512"/>
      <c r="D17" s="512"/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2"/>
      <c r="Q17" s="512"/>
      <c r="R17" s="512"/>
      <c r="S17" s="512"/>
      <c r="T17" s="512"/>
      <c r="U17" s="512"/>
      <c r="V17" s="512"/>
      <c r="W17" s="583"/>
      <c r="X17" s="583"/>
      <c r="Y17" s="524"/>
      <c r="Z17" s="536"/>
      <c r="AA17" s="572"/>
    </row>
    <row r="18" spans="1:27" ht="16.5" thickBot="1">
      <c r="A18" s="511"/>
      <c r="B18" s="512"/>
      <c r="C18" s="512"/>
      <c r="D18" s="512"/>
      <c r="E18" s="517" t="s">
        <v>368</v>
      </c>
      <c r="F18" s="517"/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7"/>
      <c r="R18" s="518">
        <f>[1]IndicadoresAgregado!R138+[1]IndicadoresAgregado!R151</f>
        <v>5153.1305000000002</v>
      </c>
      <c r="S18" s="519">
        <f>((R18)/R22)</f>
        <v>0.46977346942388992</v>
      </c>
      <c r="T18" s="519"/>
      <c r="U18" s="519"/>
      <c r="V18" s="520"/>
      <c r="W18" s="582">
        <f>'PART-OCC-UNIR'!Q193</f>
        <v>0.14989014252000504</v>
      </c>
      <c r="X18" s="586">
        <f>(S18*0.8)+(W18*0.2)</f>
        <v>0.40579680404311297</v>
      </c>
      <c r="Y18" s="521">
        <f>X18*Y23</f>
        <v>6189060.0321891569</v>
      </c>
      <c r="Z18" s="521">
        <f>X18*Z23</f>
        <v>827825.48024795041</v>
      </c>
      <c r="AA18" s="572">
        <f>X18*AA23</f>
        <v>148545.97808802195</v>
      </c>
    </row>
    <row r="19" spans="1:27" ht="15.75" thickBot="1">
      <c r="A19" s="511"/>
      <c r="B19" s="512"/>
      <c r="C19" s="512"/>
      <c r="D19" s="512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2"/>
      <c r="Q19" s="512"/>
      <c r="R19" s="512"/>
      <c r="S19" s="512"/>
      <c r="T19" s="512"/>
      <c r="U19" s="512"/>
      <c r="V19" s="512"/>
      <c r="W19" s="551"/>
      <c r="X19" s="551"/>
      <c r="Y19" s="551"/>
      <c r="Z19" s="556"/>
    </row>
    <row r="20" spans="1:27" ht="16.5" thickBot="1">
      <c r="A20" s="511"/>
      <c r="B20" s="512"/>
      <c r="C20" s="512"/>
      <c r="D20" s="512"/>
      <c r="E20" s="530" t="s">
        <v>168</v>
      </c>
      <c r="F20" s="530"/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1">
        <f>'PART-OCC-UNIR'!Q211</f>
        <v>10655.394475000001</v>
      </c>
      <c r="S20" s="531"/>
      <c r="T20" s="531"/>
      <c r="U20" s="531"/>
      <c r="V20" s="531"/>
      <c r="W20" s="552"/>
      <c r="X20" s="552"/>
      <c r="Y20" s="552"/>
      <c r="Z20" s="553"/>
    </row>
    <row r="21" spans="1:27" ht="16.5" thickBot="1">
      <c r="A21" s="511"/>
      <c r="B21" s="512"/>
      <c r="C21" s="512"/>
      <c r="D21" s="512"/>
      <c r="E21" s="532" t="s">
        <v>169</v>
      </c>
      <c r="F21" s="532"/>
      <c r="G21" s="532"/>
      <c r="H21" s="532"/>
      <c r="I21" s="532"/>
      <c r="J21" s="532"/>
      <c r="K21" s="532"/>
      <c r="L21" s="532"/>
      <c r="M21" s="532"/>
      <c r="N21" s="532"/>
      <c r="O21" s="532"/>
      <c r="P21" s="532"/>
      <c r="Q21" s="532"/>
      <c r="R21" s="533">
        <f>[1]IndicadoresAgregado!R154</f>
        <v>314</v>
      </c>
      <c r="S21" s="533"/>
      <c r="T21" s="533"/>
      <c r="U21" s="533"/>
      <c r="V21" s="533"/>
      <c r="W21" s="552"/>
      <c r="X21" s="552"/>
      <c r="Y21" s="552"/>
      <c r="Z21" s="553"/>
    </row>
    <row r="22" spans="1:27" ht="16.5" thickBot="1">
      <c r="A22" s="511"/>
      <c r="B22" s="512"/>
      <c r="C22" s="512"/>
      <c r="D22" s="512"/>
      <c r="E22" s="534" t="s">
        <v>401</v>
      </c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5">
        <f>SUM(R20:V21)</f>
        <v>10969.394475000001</v>
      </c>
      <c r="S22" s="535"/>
      <c r="T22" s="535"/>
      <c r="U22" s="535"/>
      <c r="V22" s="535"/>
      <c r="W22" s="554"/>
      <c r="X22" s="554"/>
      <c r="Y22" s="554"/>
      <c r="Z22" s="555"/>
    </row>
    <row r="23" spans="1:27" ht="16.5" thickBot="1">
      <c r="A23" s="536"/>
      <c r="B23" s="537"/>
      <c r="C23" s="537"/>
      <c r="D23" s="523"/>
      <c r="E23" s="538" t="s">
        <v>370</v>
      </c>
      <c r="F23" s="539"/>
      <c r="G23" s="539"/>
      <c r="H23" s="539"/>
      <c r="I23" s="539"/>
      <c r="J23" s="539"/>
      <c r="K23" s="539"/>
      <c r="L23" s="539"/>
      <c r="M23" s="539"/>
      <c r="N23" s="539"/>
      <c r="O23" s="539"/>
      <c r="P23" s="539"/>
      <c r="Q23" s="539"/>
      <c r="R23" s="539"/>
      <c r="S23" s="539"/>
      <c r="T23" s="539"/>
      <c r="U23" s="539"/>
      <c r="V23" s="539"/>
      <c r="W23" s="539"/>
      <c r="X23" s="540"/>
      <c r="Y23" s="548">
        <v>15251623.4</v>
      </c>
      <c r="Z23" s="547">
        <v>2040000</v>
      </c>
      <c r="AA23" s="547">
        <v>366060</v>
      </c>
    </row>
    <row r="24" spans="1:27" ht="15">
      <c r="A24" s="536"/>
      <c r="B24" s="537"/>
      <c r="C24" s="537"/>
      <c r="D24" s="523"/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524"/>
      <c r="Z24" s="525"/>
    </row>
    <row r="25" spans="1:27" ht="12.75" customHeight="1">
      <c r="A25" s="536"/>
      <c r="B25" s="537"/>
      <c r="C25" s="537"/>
      <c r="D25" s="476" t="s">
        <v>387</v>
      </c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476"/>
      <c r="Q25" s="476"/>
      <c r="R25" s="476"/>
      <c r="S25" s="476"/>
      <c r="T25" s="476"/>
      <c r="U25" s="476"/>
      <c r="V25" s="476"/>
      <c r="W25" s="476"/>
      <c r="X25" s="476"/>
      <c r="Y25" s="476"/>
      <c r="Z25" s="476"/>
      <c r="AA25" s="476"/>
    </row>
    <row r="26" spans="1:27" ht="18" customHeight="1" thickBot="1">
      <c r="A26" s="536"/>
      <c r="B26" s="537"/>
      <c r="C26" s="537"/>
      <c r="D26" s="476"/>
      <c r="E26" s="476"/>
      <c r="F26" s="476"/>
      <c r="G26" s="476"/>
      <c r="H26" s="476"/>
      <c r="I26" s="476"/>
      <c r="J26" s="476"/>
      <c r="K26" s="476"/>
      <c r="L26" s="476"/>
      <c r="M26" s="476"/>
      <c r="N26" s="476"/>
      <c r="O26" s="476"/>
      <c r="P26" s="476"/>
      <c r="Q26" s="476"/>
      <c r="R26" s="476"/>
      <c r="S26" s="476"/>
      <c r="T26" s="476"/>
      <c r="U26" s="476"/>
      <c r="V26" s="476"/>
      <c r="W26" s="476"/>
      <c r="X26" s="476"/>
      <c r="Y26" s="476"/>
      <c r="Z26" s="476"/>
      <c r="AA26" s="476"/>
    </row>
    <row r="27" spans="1:27" ht="16.5" thickBot="1">
      <c r="A27" s="536"/>
      <c r="B27" s="537"/>
      <c r="C27" s="537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541" t="s">
        <v>400</v>
      </c>
      <c r="T27" s="542"/>
      <c r="U27" s="542"/>
      <c r="V27" s="543"/>
      <c r="W27" s="581" t="s">
        <v>359</v>
      </c>
      <c r="X27" s="544" t="s">
        <v>360</v>
      </c>
      <c r="Y27" s="515" t="s">
        <v>398</v>
      </c>
      <c r="Z27" s="516" t="s">
        <v>399</v>
      </c>
      <c r="AA27" s="570" t="s">
        <v>404</v>
      </c>
    </row>
    <row r="28" spans="1:27" ht="16.5" thickBot="1">
      <c r="A28" s="536"/>
      <c r="B28" s="537"/>
      <c r="C28" s="537"/>
      <c r="D28" s="523"/>
      <c r="E28" s="517" t="s">
        <v>206</v>
      </c>
      <c r="F28" s="517"/>
      <c r="G28" s="517"/>
      <c r="H28" s="517"/>
      <c r="I28" s="517"/>
      <c r="J28" s="517"/>
      <c r="K28" s="517"/>
      <c r="L28" s="517"/>
      <c r="M28" s="517"/>
      <c r="N28" s="517"/>
      <c r="O28" s="517"/>
      <c r="P28" s="517"/>
      <c r="Q28" s="517"/>
      <c r="R28" s="518">
        <f>[1]IndicadoresAgregado!R42</f>
        <v>141.9</v>
      </c>
      <c r="S28" s="519">
        <f>'PART-OCC-NÚCLEOS-PVH'!Q18</f>
        <v>0.13958029978088077</v>
      </c>
      <c r="T28" s="519"/>
      <c r="U28" s="519"/>
      <c r="V28" s="520"/>
      <c r="W28" s="582">
        <f>'PART-OCC-NÚCLEOS-PVH'!Q19</f>
        <v>0.28598887840770409</v>
      </c>
      <c r="X28" s="586">
        <f>(S28*0.8)+(W28*0.2)</f>
        <v>0.16886201550624544</v>
      </c>
      <c r="Y28" s="521">
        <f>X28*Y37</f>
        <v>1045097.1511246093</v>
      </c>
      <c r="Z28" s="522">
        <f>X28*Z37</f>
        <v>139788.27908209449</v>
      </c>
      <c r="AA28" s="589">
        <f>X28*AA37</f>
        <v>25083.773255289958</v>
      </c>
    </row>
    <row r="29" spans="1:27" ht="13.5" customHeight="1" thickBot="1">
      <c r="A29" s="536"/>
      <c r="B29" s="537"/>
      <c r="C29" s="537"/>
      <c r="D29" s="523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83"/>
      <c r="X29" s="583"/>
      <c r="Y29" s="524"/>
      <c r="Z29" s="525"/>
      <c r="AA29" s="590"/>
    </row>
    <row r="30" spans="1:27" ht="16.5" thickBot="1">
      <c r="A30" s="536"/>
      <c r="B30" s="537"/>
      <c r="C30" s="537"/>
      <c r="D30" s="523"/>
      <c r="E30" s="517" t="s">
        <v>207</v>
      </c>
      <c r="F30" s="517"/>
      <c r="G30" s="517"/>
      <c r="H30" s="517"/>
      <c r="I30" s="517"/>
      <c r="J30" s="517"/>
      <c r="K30" s="517"/>
      <c r="L30" s="517"/>
      <c r="M30" s="517"/>
      <c r="N30" s="517"/>
      <c r="O30" s="517"/>
      <c r="P30" s="517"/>
      <c r="Q30" s="517"/>
      <c r="R30" s="518">
        <f>[1]IndicadoresAgregado!R53+[1]IndicadoresAgregado!R57</f>
        <v>382.8</v>
      </c>
      <c r="S30" s="519">
        <f>'PART-OCC-NÚCLEOS-PVH'!Q31</f>
        <v>0.15430523251836917</v>
      </c>
      <c r="T30" s="519"/>
      <c r="U30" s="519"/>
      <c r="V30" s="520"/>
      <c r="W30" s="582">
        <f>'PART-OCC-NÚCLEOS-PVH'!Q32</f>
        <v>0.19870469644090502</v>
      </c>
      <c r="X30" s="586">
        <f>(S30*0.8)+(W30*0.2)</f>
        <v>0.16318512530287635</v>
      </c>
      <c r="Y30" s="521">
        <f>X30*Y37</f>
        <v>1009962.5368598115</v>
      </c>
      <c r="Z30" s="522">
        <f>X30*Z37</f>
        <v>135088.80472317559</v>
      </c>
      <c r="AA30" s="589">
        <f>X30*AA37</f>
        <v>24240.494047532186</v>
      </c>
    </row>
    <row r="31" spans="1:27" ht="15.75" thickBot="1">
      <c r="A31" s="536"/>
      <c r="B31" s="537"/>
      <c r="C31" s="537"/>
      <c r="D31" s="523"/>
      <c r="E31" s="512"/>
      <c r="F31" s="512"/>
      <c r="G31" s="512"/>
      <c r="H31" s="512"/>
      <c r="I31" s="512"/>
      <c r="J31" s="512"/>
      <c r="K31" s="512"/>
      <c r="L31" s="512"/>
      <c r="M31" s="512"/>
      <c r="N31" s="512"/>
      <c r="O31" s="512"/>
      <c r="P31" s="512"/>
      <c r="Q31" s="512"/>
      <c r="R31" s="512"/>
      <c r="S31" s="512"/>
      <c r="T31" s="512"/>
      <c r="U31" s="512"/>
      <c r="V31" s="512"/>
      <c r="W31" s="583"/>
      <c r="X31" s="583"/>
      <c r="Y31" s="524"/>
      <c r="Z31" s="525"/>
      <c r="AA31" s="590"/>
    </row>
    <row r="32" spans="1:27" ht="16.5" thickBot="1">
      <c r="A32" s="536"/>
      <c r="B32" s="537"/>
      <c r="C32" s="537"/>
      <c r="D32" s="523"/>
      <c r="E32" s="517" t="s">
        <v>210</v>
      </c>
      <c r="F32" s="517"/>
      <c r="G32" s="517"/>
      <c r="H32" s="517"/>
      <c r="I32" s="517"/>
      <c r="J32" s="517"/>
      <c r="K32" s="517"/>
      <c r="L32" s="517"/>
      <c r="M32" s="517"/>
      <c r="N32" s="517"/>
      <c r="O32" s="517"/>
      <c r="P32" s="517"/>
      <c r="Q32" s="517"/>
      <c r="R32" s="518">
        <f>[1]IndicadoresAgregado!R72</f>
        <v>148.08090000000001</v>
      </c>
      <c r="S32" s="519">
        <f>'PART-OCC-NÚCLEOS-PVH'!Q46</f>
        <v>0.1828917393029344</v>
      </c>
      <c r="T32" s="519"/>
      <c r="U32" s="519"/>
      <c r="V32" s="520"/>
      <c r="W32" s="582">
        <f>'PART-OCC-NÚCLEOS-PVH'!Q47</f>
        <v>0.22930488895999929</v>
      </c>
      <c r="X32" s="586">
        <f>(S32*0.8)+(W32*0.2)</f>
        <v>0.19217436923434739</v>
      </c>
      <c r="Y32" s="521">
        <f>X32*Y37</f>
        <v>1189378.707839461</v>
      </c>
      <c r="Z32" s="522">
        <f>X32*Z37</f>
        <v>159086.83950277057</v>
      </c>
      <c r="AA32" s="589">
        <f>X32*AA37</f>
        <v>28546.729641364807</v>
      </c>
    </row>
    <row r="33" spans="1:27" ht="15.75" thickBot="1">
      <c r="A33" s="536"/>
      <c r="B33" s="537"/>
      <c r="C33" s="537"/>
      <c r="D33" s="523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512"/>
      <c r="R33" s="512"/>
      <c r="S33" s="512"/>
      <c r="T33" s="512"/>
      <c r="U33" s="512"/>
      <c r="V33" s="512"/>
      <c r="W33" s="583"/>
      <c r="X33" s="583"/>
      <c r="Y33" s="524"/>
      <c r="Z33" s="525"/>
      <c r="AA33" s="590"/>
    </row>
    <row r="34" spans="1:27" ht="16.5" thickBot="1">
      <c r="A34" s="536"/>
      <c r="B34" s="537"/>
      <c r="C34" s="537"/>
      <c r="D34" s="523"/>
      <c r="E34" s="517" t="s">
        <v>208</v>
      </c>
      <c r="F34" s="517"/>
      <c r="G34" s="517"/>
      <c r="H34" s="517"/>
      <c r="I34" s="517"/>
      <c r="J34" s="517"/>
      <c r="K34" s="517"/>
      <c r="L34" s="517"/>
      <c r="M34" s="517"/>
      <c r="N34" s="517"/>
      <c r="O34" s="517"/>
      <c r="P34" s="517"/>
      <c r="Q34" s="517"/>
      <c r="R34" s="518">
        <f>[1]IndicadoresAgregado!R84</f>
        <v>0</v>
      </c>
      <c r="S34" s="519">
        <f>'PART-OCC-NÚCLEOS-PVH'!Q67</f>
        <v>0.21908042111489318</v>
      </c>
      <c r="T34" s="519"/>
      <c r="U34" s="519"/>
      <c r="V34" s="520"/>
      <c r="W34" s="582">
        <f>'PART-OCC-NÚCLEOS-PVH'!Q68</f>
        <v>9.8981376931080958E-2</v>
      </c>
      <c r="X34" s="586">
        <f>(S34*0.8)+(W34*0.2)</f>
        <v>0.19506061227813076</v>
      </c>
      <c r="Y34" s="521">
        <f>X34*Y37</f>
        <v>1207241.8393049247</v>
      </c>
      <c r="Z34" s="522">
        <f>X34*Z37</f>
        <v>161476.14503660286</v>
      </c>
      <c r="AA34" s="589">
        <f>X34*AA37</f>
        <v>28975.469437303356</v>
      </c>
    </row>
    <row r="35" spans="1:27" ht="15.75" thickBot="1">
      <c r="A35" s="536"/>
      <c r="B35" s="537"/>
      <c r="C35" s="537"/>
      <c r="D35" s="523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512"/>
      <c r="Q35" s="512"/>
      <c r="R35" s="512"/>
      <c r="S35" s="512"/>
      <c r="T35" s="512"/>
      <c r="U35" s="512"/>
      <c r="V35" s="512"/>
      <c r="W35" s="583"/>
      <c r="X35" s="583"/>
      <c r="Y35" s="524"/>
      <c r="Z35" s="525"/>
      <c r="AA35" s="590"/>
    </row>
    <row r="36" spans="1:27" ht="16.5" thickBot="1">
      <c r="A36" s="536"/>
      <c r="B36" s="537"/>
      <c r="C36" s="537"/>
      <c r="D36" s="523"/>
      <c r="E36" s="573" t="s">
        <v>209</v>
      </c>
      <c r="F36" s="573"/>
      <c r="G36" s="573"/>
      <c r="H36" s="573"/>
      <c r="I36" s="573"/>
      <c r="J36" s="573"/>
      <c r="K36" s="573"/>
      <c r="L36" s="573"/>
      <c r="M36" s="573"/>
      <c r="N36" s="573"/>
      <c r="O36" s="573"/>
      <c r="P36" s="573"/>
      <c r="Q36" s="573"/>
      <c r="R36" s="574" t="str">
        <f>[1]IndicadoresAgregado!R99</f>
        <v>TAEG</v>
      </c>
      <c r="S36" s="575">
        <f>'PART-OCC-NÚCLEOS-PVH'!Q81</f>
        <v>0.30414230728292246</v>
      </c>
      <c r="T36" s="575"/>
      <c r="U36" s="575"/>
      <c r="V36" s="576"/>
      <c r="W36" s="584">
        <f>'PART-OCC-NÚCLEOS-PVH'!Q82</f>
        <v>0.18702015926031063</v>
      </c>
      <c r="X36" s="587">
        <f>(S36*0.8)+(W36*0.2)</f>
        <v>0.28071787767840012</v>
      </c>
      <c r="Y36" s="577">
        <f>X36*Y37</f>
        <v>1737379.7970603509</v>
      </c>
      <c r="Z36" s="578">
        <f>X36*Z37</f>
        <v>232385.41190330699</v>
      </c>
      <c r="AA36" s="589">
        <f>X36*AA37</f>
        <v>41699.511706531652</v>
      </c>
    </row>
    <row r="37" spans="1:27" ht="16.5" thickBot="1">
      <c r="A37" s="536"/>
      <c r="B37" s="537"/>
      <c r="C37" s="537"/>
      <c r="D37" s="523"/>
      <c r="E37" s="538" t="s">
        <v>371</v>
      </c>
      <c r="F37" s="539"/>
      <c r="G37" s="539"/>
      <c r="H37" s="539"/>
      <c r="I37" s="539"/>
      <c r="J37" s="539"/>
      <c r="K37" s="539"/>
      <c r="L37" s="539"/>
      <c r="M37" s="539"/>
      <c r="N37" s="539"/>
      <c r="O37" s="539"/>
      <c r="P37" s="539"/>
      <c r="Q37" s="539"/>
      <c r="R37" s="539"/>
      <c r="S37" s="539"/>
      <c r="T37" s="539"/>
      <c r="U37" s="539"/>
      <c r="V37" s="539"/>
      <c r="W37" s="539"/>
      <c r="X37" s="540"/>
      <c r="Y37" s="579">
        <f>Y18</f>
        <v>6189060.0321891569</v>
      </c>
      <c r="Z37" s="580">
        <f>Z18</f>
        <v>827825.48024795041</v>
      </c>
      <c r="AA37" s="550">
        <f>AA18</f>
        <v>148545.97808802195</v>
      </c>
    </row>
    <row r="38" spans="1:27" ht="15.75" thickBot="1">
      <c r="A38" s="545"/>
      <c r="B38" s="546"/>
      <c r="C38" s="546"/>
      <c r="D38" s="537"/>
      <c r="E38" s="523"/>
      <c r="F38" s="523"/>
      <c r="G38" s="523"/>
      <c r="H38" s="523"/>
      <c r="I38" s="523"/>
      <c r="J38" s="523"/>
      <c r="K38" s="523"/>
      <c r="L38" s="523"/>
      <c r="M38" s="523"/>
      <c r="N38" s="523"/>
      <c r="O38" s="523"/>
      <c r="P38" s="523"/>
      <c r="Q38" s="523"/>
      <c r="R38" s="523"/>
      <c r="S38" s="523"/>
      <c r="T38" s="523"/>
      <c r="U38" s="523"/>
      <c r="V38" s="523"/>
      <c r="W38" s="523"/>
      <c r="X38" s="523"/>
      <c r="Y38" s="557"/>
      <c r="Z38" s="537"/>
    </row>
    <row r="61" spans="4:24" ht="12.75" customHeight="1">
      <c r="D61" s="249"/>
      <c r="E61" s="474" t="s">
        <v>402</v>
      </c>
      <c r="F61" s="474"/>
      <c r="G61" s="474"/>
      <c r="H61" s="474"/>
      <c r="I61" s="474"/>
      <c r="J61" s="474"/>
      <c r="K61" s="474"/>
      <c r="L61" s="474"/>
      <c r="M61" s="474"/>
      <c r="N61" s="474"/>
      <c r="O61" s="474"/>
      <c r="P61" s="474"/>
      <c r="Q61" s="474"/>
      <c r="R61" s="474"/>
      <c r="S61" s="474"/>
      <c r="T61" s="474"/>
      <c r="U61" s="474"/>
      <c r="V61" s="474"/>
      <c r="W61" s="474"/>
      <c r="X61" s="474"/>
    </row>
    <row r="62" spans="4:24" ht="13.5" customHeight="1" thickBot="1">
      <c r="E62" s="474"/>
      <c r="F62" s="474"/>
      <c r="G62" s="474"/>
      <c r="H62" s="474"/>
      <c r="I62" s="474"/>
      <c r="J62" s="474"/>
      <c r="K62" s="474"/>
      <c r="L62" s="474"/>
      <c r="M62" s="474"/>
      <c r="N62" s="474"/>
      <c r="O62" s="474"/>
      <c r="P62" s="474"/>
      <c r="Q62" s="474"/>
      <c r="R62" s="474"/>
      <c r="S62" s="474"/>
      <c r="T62" s="474"/>
      <c r="U62" s="474"/>
      <c r="V62" s="474"/>
      <c r="W62" s="474"/>
      <c r="X62" s="474"/>
    </row>
    <row r="63" spans="4:24" ht="32.25" thickBot="1">
      <c r="D63" s="512"/>
      <c r="E63" s="512"/>
      <c r="F63" s="512"/>
      <c r="G63" s="512"/>
      <c r="H63" s="512"/>
      <c r="I63" s="512"/>
      <c r="J63" s="512"/>
      <c r="K63" s="512"/>
      <c r="L63" s="512"/>
      <c r="M63" s="512"/>
      <c r="N63" s="512"/>
      <c r="O63" s="512"/>
      <c r="P63" s="512"/>
      <c r="Q63" s="512"/>
      <c r="R63" s="567" t="s">
        <v>400</v>
      </c>
      <c r="S63" s="568"/>
      <c r="T63" s="568"/>
      <c r="U63" s="569"/>
      <c r="V63" s="515" t="s">
        <v>398</v>
      </c>
      <c r="W63" s="516" t="s">
        <v>399</v>
      </c>
      <c r="X63" s="585" t="s">
        <v>405</v>
      </c>
    </row>
    <row r="64" spans="4:24" ht="16.5" thickBot="1">
      <c r="D64" s="512"/>
      <c r="E64" s="594" t="s">
        <v>361</v>
      </c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6"/>
      <c r="R64" s="591">
        <f>S4</f>
        <v>9.5614480123799167E-2</v>
      </c>
      <c r="S64" s="592"/>
      <c r="T64" s="592"/>
      <c r="U64" s="593"/>
      <c r="V64" s="521">
        <f>R64*V81</f>
        <v>1458276.0424349704</v>
      </c>
      <c r="W64" s="522">
        <f>R64*W81</f>
        <v>195053.53945255029</v>
      </c>
      <c r="X64" s="572">
        <f>R64*X81</f>
        <v>35000.636594117925</v>
      </c>
    </row>
    <row r="65" spans="4:24" ht="15.75" thickBot="1">
      <c r="D65" s="512"/>
      <c r="E65" s="512"/>
      <c r="F65" s="512"/>
      <c r="G65" s="512"/>
      <c r="H65" s="512"/>
      <c r="I65" s="512"/>
      <c r="J65" s="512"/>
      <c r="K65" s="512"/>
      <c r="L65" s="512"/>
      <c r="M65" s="512"/>
      <c r="N65" s="512"/>
      <c r="O65" s="512"/>
      <c r="P65" s="512"/>
      <c r="Q65" s="512"/>
      <c r="R65" s="512"/>
      <c r="S65" s="512"/>
      <c r="T65" s="512"/>
      <c r="U65" s="512"/>
      <c r="V65" s="524"/>
      <c r="W65" s="525"/>
      <c r="X65" s="572"/>
    </row>
    <row r="66" spans="4:24" ht="16.5" thickBot="1">
      <c r="D66" s="512"/>
      <c r="E66" s="594" t="s">
        <v>362</v>
      </c>
      <c r="F66" s="595"/>
      <c r="G66" s="595"/>
      <c r="H66" s="595"/>
      <c r="I66" s="595"/>
      <c r="J66" s="595"/>
      <c r="K66" s="595"/>
      <c r="L66" s="595"/>
      <c r="M66" s="595"/>
      <c r="N66" s="595"/>
      <c r="O66" s="595"/>
      <c r="P66" s="595"/>
      <c r="Q66" s="596"/>
      <c r="R66" s="591">
        <f>S6</f>
        <v>6.2469756335387878E-2</v>
      </c>
      <c r="S66" s="592"/>
      <c r="T66" s="592"/>
      <c r="U66" s="593"/>
      <c r="V66" s="521">
        <f>R66*V81</f>
        <v>952765.19751710002</v>
      </c>
      <c r="W66" s="522">
        <f>R66*W81</f>
        <v>127438.30292419127</v>
      </c>
      <c r="X66" s="572">
        <f>R66*X81</f>
        <v>22867.679004132086</v>
      </c>
    </row>
    <row r="67" spans="4:24" ht="15.75" thickBot="1">
      <c r="D67" s="512"/>
      <c r="E67" s="512"/>
      <c r="F67" s="512"/>
      <c r="G67" s="512"/>
      <c r="H67" s="512"/>
      <c r="I67" s="512"/>
      <c r="J67" s="512"/>
      <c r="K67" s="512"/>
      <c r="L67" s="512"/>
      <c r="M67" s="512"/>
      <c r="N67" s="512"/>
      <c r="O67" s="512"/>
      <c r="P67" s="512"/>
      <c r="Q67" s="512"/>
      <c r="R67" s="512"/>
      <c r="S67" s="512"/>
      <c r="T67" s="512"/>
      <c r="U67" s="512"/>
      <c r="V67" s="524"/>
      <c r="W67" s="525"/>
      <c r="X67" s="572"/>
    </row>
    <row r="68" spans="4:24" ht="16.5" thickBot="1">
      <c r="D68" s="512"/>
      <c r="E68" s="594" t="s">
        <v>363</v>
      </c>
      <c r="F68" s="595"/>
      <c r="G68" s="595"/>
      <c r="H68" s="595"/>
      <c r="I68" s="595"/>
      <c r="J68" s="595"/>
      <c r="K68" s="595"/>
      <c r="L68" s="595"/>
      <c r="M68" s="595"/>
      <c r="N68" s="595"/>
      <c r="O68" s="595"/>
      <c r="P68" s="595"/>
      <c r="Q68" s="596"/>
      <c r="R68" s="591">
        <f>S8</f>
        <v>0.10291953011380785</v>
      </c>
      <c r="S68" s="592"/>
      <c r="T68" s="592"/>
      <c r="U68" s="593"/>
      <c r="V68" s="521">
        <f>R68*V81</f>
        <v>1569689.9138007564</v>
      </c>
      <c r="W68" s="522">
        <f>R68*W81</f>
        <v>209955.841432168</v>
      </c>
      <c r="X68" s="572">
        <f>R68*X81</f>
        <v>37674.723193460501</v>
      </c>
    </row>
    <row r="69" spans="4:24" ht="15.75" thickBot="1">
      <c r="D69" s="512"/>
      <c r="E69" s="512"/>
      <c r="F69" s="512"/>
      <c r="G69" s="512"/>
      <c r="H69" s="512"/>
      <c r="I69" s="512"/>
      <c r="J69" s="512"/>
      <c r="K69" s="512"/>
      <c r="L69" s="512"/>
      <c r="M69" s="512"/>
      <c r="N69" s="512"/>
      <c r="O69" s="512"/>
      <c r="P69" s="512"/>
      <c r="Q69" s="512"/>
      <c r="R69" s="512"/>
      <c r="S69" s="512"/>
      <c r="T69" s="512"/>
      <c r="U69" s="512"/>
      <c r="V69" s="524"/>
      <c r="W69" s="525"/>
      <c r="X69" s="572"/>
    </row>
    <row r="70" spans="4:24" ht="16.5" thickBot="1">
      <c r="D70" s="512"/>
      <c r="E70" s="594" t="s">
        <v>364</v>
      </c>
      <c r="F70" s="595"/>
      <c r="G70" s="595"/>
      <c r="H70" s="595"/>
      <c r="I70" s="595"/>
      <c r="J70" s="595"/>
      <c r="K70" s="595"/>
      <c r="L70" s="595"/>
      <c r="M70" s="595"/>
      <c r="N70" s="595"/>
      <c r="O70" s="595"/>
      <c r="P70" s="595"/>
      <c r="Q70" s="596"/>
      <c r="R70" s="591">
        <f>S10</f>
        <v>0.14043072327381134</v>
      </c>
      <c r="S70" s="592"/>
      <c r="T70" s="592"/>
      <c r="U70" s="593"/>
      <c r="V70" s="521">
        <f>R70*V81</f>
        <v>2141796.5051617855</v>
      </c>
      <c r="W70" s="522">
        <f>R70*W81</f>
        <v>286478.67547857511</v>
      </c>
      <c r="X70" s="572">
        <f>R70*X81</f>
        <v>51406.070561611377</v>
      </c>
    </row>
    <row r="71" spans="4:24" ht="15.75" thickBot="1">
      <c r="D71" s="512"/>
      <c r="E71" s="512"/>
      <c r="F71" s="512"/>
      <c r="G71" s="512"/>
      <c r="H71" s="512"/>
      <c r="I71" s="512"/>
      <c r="J71" s="512"/>
      <c r="K71" s="512"/>
      <c r="L71" s="512"/>
      <c r="M71" s="512"/>
      <c r="N71" s="512"/>
      <c r="O71" s="512"/>
      <c r="P71" s="512"/>
      <c r="Q71" s="512"/>
      <c r="R71" s="512"/>
      <c r="S71" s="512"/>
      <c r="T71" s="512"/>
      <c r="U71" s="512"/>
      <c r="V71" s="524"/>
      <c r="W71" s="525"/>
      <c r="X71" s="572"/>
    </row>
    <row r="72" spans="4:24" ht="16.5" thickBot="1">
      <c r="D72" s="512"/>
      <c r="E72" s="594" t="s">
        <v>365</v>
      </c>
      <c r="F72" s="595"/>
      <c r="G72" s="595"/>
      <c r="H72" s="595"/>
      <c r="I72" s="595"/>
      <c r="J72" s="595"/>
      <c r="K72" s="595"/>
      <c r="L72" s="595"/>
      <c r="M72" s="595"/>
      <c r="N72" s="595"/>
      <c r="O72" s="595"/>
      <c r="P72" s="595"/>
      <c r="Q72" s="596"/>
      <c r="R72" s="591">
        <f>S12</f>
        <v>6.5661391031340402E-2</v>
      </c>
      <c r="S72" s="592"/>
      <c r="T72" s="592"/>
      <c r="U72" s="593"/>
      <c r="V72" s="521">
        <f>R72*V81</f>
        <v>1001442.8079301415</v>
      </c>
      <c r="W72" s="522">
        <f>R72*W81</f>
        <v>133949.23770393443</v>
      </c>
      <c r="X72" s="572">
        <f>R72*X81</f>
        <v>24036.008800932468</v>
      </c>
    </row>
    <row r="73" spans="4:24" ht="15.75" thickBot="1">
      <c r="D73" s="512"/>
      <c r="E73" s="512"/>
      <c r="F73" s="512"/>
      <c r="G73" s="512"/>
      <c r="H73" s="512"/>
      <c r="I73" s="512"/>
      <c r="J73" s="512"/>
      <c r="K73" s="512"/>
      <c r="L73" s="512"/>
      <c r="M73" s="512"/>
      <c r="N73" s="512"/>
      <c r="O73" s="512"/>
      <c r="P73" s="512"/>
      <c r="Q73" s="512"/>
      <c r="R73" s="512"/>
      <c r="S73" s="512"/>
      <c r="T73" s="512"/>
      <c r="U73" s="512"/>
      <c r="V73" s="524"/>
      <c r="W73" s="525"/>
      <c r="X73" s="572"/>
    </row>
    <row r="74" spans="4:24" ht="16.5" thickBot="1">
      <c r="D74" s="512"/>
      <c r="E74" s="594" t="s">
        <v>366</v>
      </c>
      <c r="F74" s="595"/>
      <c r="G74" s="595"/>
      <c r="H74" s="595"/>
      <c r="I74" s="595"/>
      <c r="J74" s="595"/>
      <c r="K74" s="595"/>
      <c r="L74" s="595"/>
      <c r="M74" s="595"/>
      <c r="N74" s="595"/>
      <c r="O74" s="595"/>
      <c r="P74" s="595"/>
      <c r="Q74" s="596"/>
      <c r="R74" s="591">
        <f>S14</f>
        <v>3.4250295297179566E-2</v>
      </c>
      <c r="S74" s="592"/>
      <c r="T74" s="592"/>
      <c r="U74" s="593"/>
      <c r="V74" s="521">
        <f>R74*V81</f>
        <v>522372.60521137383</v>
      </c>
      <c r="W74" s="522">
        <f>R74*W81</f>
        <v>69870.602406246311</v>
      </c>
      <c r="X74" s="572">
        <f>R74*X81</f>
        <v>12537.663096485552</v>
      </c>
    </row>
    <row r="75" spans="4:24" ht="15.75" thickBot="1">
      <c r="D75" s="558"/>
      <c r="E75" s="558"/>
      <c r="F75" s="558"/>
      <c r="G75" s="558"/>
      <c r="H75" s="558"/>
      <c r="I75" s="558"/>
      <c r="J75" s="558"/>
      <c r="K75" s="558"/>
      <c r="L75" s="558"/>
      <c r="M75" s="558"/>
      <c r="N75" s="558"/>
      <c r="O75" s="558"/>
      <c r="P75" s="558"/>
      <c r="Q75" s="558"/>
      <c r="R75" s="558"/>
      <c r="S75" s="558"/>
      <c r="T75" s="558"/>
      <c r="U75" s="558"/>
      <c r="V75" s="523"/>
      <c r="W75" s="524"/>
      <c r="X75" s="572"/>
    </row>
    <row r="76" spans="4:24" ht="16.5" thickBot="1">
      <c r="D76" s="512"/>
      <c r="E76" s="597" t="s">
        <v>367</v>
      </c>
      <c r="F76" s="598"/>
      <c r="G76" s="598"/>
      <c r="H76" s="598"/>
      <c r="I76" s="598"/>
      <c r="J76" s="598"/>
      <c r="K76" s="598"/>
      <c r="L76" s="598"/>
      <c r="M76" s="598"/>
      <c r="N76" s="598"/>
      <c r="O76" s="598"/>
      <c r="P76" s="598"/>
      <c r="Q76" s="599"/>
      <c r="R76" s="591">
        <f>S16</f>
        <v>2.888035440078382E-2</v>
      </c>
      <c r="S76" s="592"/>
      <c r="T76" s="592"/>
      <c r="U76" s="593"/>
      <c r="V76" s="521">
        <f>R76*V81</f>
        <v>440472.28897928749</v>
      </c>
      <c r="W76" s="522">
        <f>R76*W81</f>
        <v>58915.922977598995</v>
      </c>
      <c r="X76" s="572">
        <f>R76*X81</f>
        <v>10571.942531950925</v>
      </c>
    </row>
    <row r="77" spans="4:24" ht="15.75" thickBot="1">
      <c r="D77" s="512"/>
      <c r="E77" s="512"/>
      <c r="F77" s="512"/>
      <c r="G77" s="512"/>
      <c r="H77" s="512"/>
      <c r="I77" s="512"/>
      <c r="J77" s="512"/>
      <c r="K77" s="512"/>
      <c r="L77" s="512"/>
      <c r="M77" s="512"/>
      <c r="N77" s="512"/>
      <c r="O77" s="512"/>
      <c r="P77" s="512"/>
      <c r="Q77" s="512"/>
      <c r="R77" s="512"/>
      <c r="S77" s="512"/>
      <c r="T77" s="512"/>
      <c r="U77" s="512"/>
      <c r="V77" s="524"/>
      <c r="W77" s="525"/>
      <c r="X77" s="572"/>
    </row>
    <row r="78" spans="4:24" ht="16.5" thickBot="1">
      <c r="D78" s="512"/>
      <c r="E78" s="594" t="s">
        <v>368</v>
      </c>
      <c r="F78" s="595"/>
      <c r="G78" s="595"/>
      <c r="H78" s="595"/>
      <c r="I78" s="595"/>
      <c r="J78" s="595"/>
      <c r="K78" s="595"/>
      <c r="L78" s="595"/>
      <c r="M78" s="595"/>
      <c r="N78" s="595"/>
      <c r="O78" s="595"/>
      <c r="P78" s="595"/>
      <c r="Q78" s="596"/>
      <c r="R78" s="591">
        <f>S18</f>
        <v>0.46977346942388992</v>
      </c>
      <c r="S78" s="592"/>
      <c r="T78" s="592"/>
      <c r="U78" s="593"/>
      <c r="V78" s="521">
        <f>R78*V81</f>
        <v>7164808.0389645845</v>
      </c>
      <c r="W78" s="522">
        <f>R78*W81</f>
        <v>958337.87762473547</v>
      </c>
      <c r="X78" s="572">
        <f>R78*X81</f>
        <v>171965.27621730915</v>
      </c>
    </row>
    <row r="79" spans="4:24" ht="15.75" thickBot="1">
      <c r="D79" s="512"/>
      <c r="E79" s="512"/>
      <c r="F79" s="512"/>
      <c r="G79" s="512"/>
      <c r="H79" s="512"/>
      <c r="I79" s="512"/>
      <c r="J79" s="512"/>
      <c r="K79" s="512"/>
      <c r="L79" s="512"/>
      <c r="M79" s="512"/>
      <c r="N79" s="512"/>
      <c r="O79" s="512"/>
      <c r="P79" s="512"/>
      <c r="Q79" s="512"/>
      <c r="R79" s="512"/>
      <c r="S79" s="512"/>
      <c r="T79" s="512"/>
      <c r="U79" s="512"/>
      <c r="X79" s="227"/>
    </row>
    <row r="80" spans="4:24" ht="16.5" thickBot="1">
      <c r="D80" s="512"/>
      <c r="E80" s="534" t="s">
        <v>401</v>
      </c>
      <c r="F80" s="534"/>
      <c r="G80" s="534"/>
      <c r="H80" s="534"/>
      <c r="I80" s="534"/>
      <c r="J80" s="534"/>
      <c r="K80" s="534"/>
      <c r="L80" s="534"/>
      <c r="M80" s="534"/>
      <c r="N80" s="534"/>
      <c r="O80" s="534"/>
      <c r="P80" s="534"/>
      <c r="Q80" s="534"/>
      <c r="R80" s="562" t="e">
        <f>SUM(#REF!)</f>
        <v>#REF!</v>
      </c>
      <c r="S80" s="563">
        <f>R22</f>
        <v>10969.394475000001</v>
      </c>
      <c r="T80" s="564"/>
      <c r="U80" s="565"/>
    </row>
    <row r="81" spans="4:26" ht="16.5" thickBot="1">
      <c r="D81" s="523"/>
      <c r="E81" s="538" t="s">
        <v>370</v>
      </c>
      <c r="F81" s="539"/>
      <c r="G81" s="539"/>
      <c r="H81" s="539"/>
      <c r="I81" s="539"/>
      <c r="J81" s="539"/>
      <c r="K81" s="539"/>
      <c r="L81" s="539"/>
      <c r="M81" s="539"/>
      <c r="N81" s="539"/>
      <c r="O81" s="539"/>
      <c r="P81" s="539"/>
      <c r="Q81" s="539"/>
      <c r="R81" s="539"/>
      <c r="S81" s="539"/>
      <c r="T81" s="539"/>
      <c r="U81" s="540"/>
      <c r="V81" s="548">
        <v>15251623.4</v>
      </c>
      <c r="W81" s="547">
        <v>2040000</v>
      </c>
      <c r="X81" s="547">
        <v>366060</v>
      </c>
    </row>
    <row r="82" spans="4:26" ht="15">
      <c r="D82" s="523"/>
      <c r="E82" s="523"/>
      <c r="F82" s="523"/>
      <c r="G82" s="523"/>
      <c r="H82" s="523"/>
      <c r="I82" s="523"/>
      <c r="J82" s="523"/>
      <c r="K82" s="523"/>
      <c r="L82" s="523"/>
      <c r="M82" s="523"/>
      <c r="N82" s="523"/>
      <c r="O82" s="523"/>
      <c r="P82" s="523"/>
      <c r="Q82" s="523"/>
      <c r="R82" s="523"/>
      <c r="S82" s="523"/>
      <c r="T82" s="523"/>
      <c r="U82" s="523"/>
      <c r="V82" s="523"/>
      <c r="W82" s="523"/>
      <c r="X82" s="523"/>
      <c r="Y82" s="524"/>
      <c r="Z82" s="537"/>
    </row>
    <row r="83" spans="4:26" ht="12.75" customHeight="1">
      <c r="E83" s="476" t="s">
        <v>403</v>
      </c>
      <c r="F83" s="476"/>
      <c r="G83" s="476"/>
      <c r="H83" s="476"/>
      <c r="I83" s="476"/>
      <c r="J83" s="476"/>
      <c r="K83" s="476"/>
      <c r="L83" s="476"/>
      <c r="M83" s="476"/>
      <c r="N83" s="476"/>
      <c r="O83" s="476"/>
      <c r="P83" s="476"/>
      <c r="Q83" s="476"/>
      <c r="R83" s="476"/>
      <c r="S83" s="476"/>
      <c r="T83" s="476"/>
      <c r="U83" s="476"/>
      <c r="V83" s="476"/>
      <c r="W83" s="476"/>
      <c r="X83" s="476"/>
    </row>
    <row r="84" spans="4:26" ht="13.5" customHeight="1" thickBot="1">
      <c r="E84" s="476"/>
      <c r="F84" s="476"/>
      <c r="G84" s="476"/>
      <c r="H84" s="476"/>
      <c r="I84" s="476"/>
      <c r="J84" s="476"/>
      <c r="K84" s="476"/>
      <c r="L84" s="476"/>
      <c r="M84" s="476"/>
      <c r="N84" s="476"/>
      <c r="O84" s="476"/>
      <c r="P84" s="476"/>
      <c r="Q84" s="476"/>
      <c r="R84" s="476"/>
      <c r="S84" s="476"/>
      <c r="T84" s="476"/>
      <c r="U84" s="476"/>
      <c r="V84" s="476"/>
      <c r="W84" s="476"/>
      <c r="X84" s="476"/>
    </row>
    <row r="85" spans="4:26" ht="32.25" thickBot="1"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541" t="s">
        <v>400</v>
      </c>
      <c r="T85" s="542"/>
      <c r="U85" s="542"/>
      <c r="V85" s="515" t="s">
        <v>398</v>
      </c>
      <c r="W85" s="516" t="s">
        <v>399</v>
      </c>
      <c r="X85" s="588" t="s">
        <v>405</v>
      </c>
    </row>
    <row r="86" spans="4:26" ht="16.5" thickBot="1">
      <c r="D86" s="523"/>
      <c r="E86" s="517" t="s">
        <v>206</v>
      </c>
      <c r="F86" s="517"/>
      <c r="G86" s="517"/>
      <c r="H86" s="517"/>
      <c r="I86" s="517"/>
      <c r="J86" s="517"/>
      <c r="K86" s="517"/>
      <c r="L86" s="517"/>
      <c r="M86" s="517"/>
      <c r="N86" s="517"/>
      <c r="O86" s="517"/>
      <c r="P86" s="517"/>
      <c r="Q86" s="517"/>
      <c r="R86" s="518">
        <f>[1]IndicadoresAgregado!U102</f>
        <v>0</v>
      </c>
      <c r="S86" s="520">
        <f>S28</f>
        <v>0.13958029978088077</v>
      </c>
      <c r="T86" s="566"/>
      <c r="U86" s="566"/>
      <c r="V86" s="521">
        <f>S86*V95</f>
        <v>1000066.0539511412</v>
      </c>
      <c r="W86" s="522">
        <f>S86*W95</f>
        <v>133765.08825023362</v>
      </c>
      <c r="X86" s="522">
        <f>S86*X95</f>
        <v>24002.964806313976</v>
      </c>
    </row>
    <row r="87" spans="4:26" ht="15.75" thickBot="1">
      <c r="D87" s="523"/>
      <c r="E87" s="512"/>
      <c r="F87" s="512"/>
      <c r="G87" s="512"/>
      <c r="H87" s="512"/>
      <c r="I87" s="512"/>
      <c r="J87" s="512"/>
      <c r="K87" s="512"/>
      <c r="L87" s="512"/>
      <c r="M87" s="512"/>
      <c r="N87" s="512"/>
      <c r="O87" s="512"/>
      <c r="P87" s="512"/>
      <c r="Q87" s="512"/>
      <c r="R87" s="512"/>
      <c r="S87" s="512"/>
      <c r="T87" s="512"/>
      <c r="U87" s="512"/>
      <c r="V87" s="524"/>
      <c r="W87" s="525"/>
      <c r="X87" s="510"/>
    </row>
    <row r="88" spans="4:26" ht="16.5" thickBot="1">
      <c r="D88" s="523"/>
      <c r="E88" s="517" t="s">
        <v>207</v>
      </c>
      <c r="F88" s="517"/>
      <c r="G88" s="517"/>
      <c r="H88" s="517"/>
      <c r="I88" s="517"/>
      <c r="J88" s="517"/>
      <c r="K88" s="517"/>
      <c r="L88" s="517"/>
      <c r="M88" s="517"/>
      <c r="N88" s="517"/>
      <c r="O88" s="517"/>
      <c r="P88" s="517"/>
      <c r="Q88" s="517"/>
      <c r="R88" s="518">
        <f>[1]IndicadoresAgregado!U113+[1]IndicadoresAgregado!U117</f>
        <v>0</v>
      </c>
      <c r="S88" s="520">
        <f>S30</f>
        <v>0.15430523251836917</v>
      </c>
      <c r="T88" s="566"/>
      <c r="U88" s="566"/>
      <c r="V88" s="521">
        <f>S88*V95</f>
        <v>1105567.3704019107</v>
      </c>
      <c r="W88" s="522">
        <f>S88*W95</f>
        <v>147876.54903804522</v>
      </c>
      <c r="X88" s="522">
        <f>S88*X95</f>
        <v>26535.141931797469</v>
      </c>
    </row>
    <row r="89" spans="4:26" ht="15.75" thickBot="1">
      <c r="D89" s="523"/>
      <c r="E89" s="512"/>
      <c r="F89" s="512"/>
      <c r="G89" s="512"/>
      <c r="H89" s="512"/>
      <c r="I89" s="512"/>
      <c r="J89" s="512"/>
      <c r="K89" s="512"/>
      <c r="L89" s="512"/>
      <c r="M89" s="512"/>
      <c r="N89" s="512"/>
      <c r="O89" s="512"/>
      <c r="P89" s="512"/>
      <c r="Q89" s="512"/>
      <c r="R89" s="512"/>
      <c r="S89" s="512"/>
      <c r="T89" s="512"/>
      <c r="U89" s="512"/>
      <c r="V89" s="524"/>
      <c r="W89" s="525"/>
      <c r="X89" s="510"/>
    </row>
    <row r="90" spans="4:26" ht="16.5" thickBot="1">
      <c r="D90" s="523"/>
      <c r="E90" s="517" t="s">
        <v>210</v>
      </c>
      <c r="F90" s="517"/>
      <c r="G90" s="517"/>
      <c r="H90" s="517"/>
      <c r="I90" s="517"/>
      <c r="J90" s="517"/>
      <c r="K90" s="517"/>
      <c r="L90" s="517"/>
      <c r="M90" s="517"/>
      <c r="N90" s="517"/>
      <c r="O90" s="517"/>
      <c r="P90" s="517"/>
      <c r="Q90" s="517"/>
      <c r="R90" s="518">
        <f>[1]IndicadoresAgregado!U132</f>
        <v>0</v>
      </c>
      <c r="S90" s="520">
        <f>S32</f>
        <v>0.1828917393029344</v>
      </c>
      <c r="T90" s="566"/>
      <c r="U90" s="566"/>
      <c r="V90" s="521">
        <f>S90*V95</f>
        <v>1310384.2040178794</v>
      </c>
      <c r="W90" s="522">
        <f>S90*W95</f>
        <v>175272.08127867058</v>
      </c>
      <c r="X90" s="522">
        <f>S90*X95</f>
        <v>31451.028467093209</v>
      </c>
    </row>
    <row r="91" spans="4:26" ht="15.75" thickBot="1">
      <c r="D91" s="523"/>
      <c r="E91" s="512"/>
      <c r="F91" s="512"/>
      <c r="G91" s="512"/>
      <c r="H91" s="512"/>
      <c r="I91" s="512"/>
      <c r="J91" s="512"/>
      <c r="K91" s="512"/>
      <c r="L91" s="512"/>
      <c r="M91" s="512"/>
      <c r="N91" s="512"/>
      <c r="O91" s="512"/>
      <c r="P91" s="512"/>
      <c r="Q91" s="512"/>
      <c r="R91" s="512"/>
      <c r="S91" s="512"/>
      <c r="T91" s="512"/>
      <c r="U91" s="512"/>
      <c r="V91" s="524"/>
      <c r="W91" s="525"/>
      <c r="X91" s="510"/>
    </row>
    <row r="92" spans="4:26" ht="16.5" thickBot="1">
      <c r="D92" s="523"/>
      <c r="E92" s="517" t="s">
        <v>208</v>
      </c>
      <c r="F92" s="517"/>
      <c r="G92" s="517"/>
      <c r="H92" s="517"/>
      <c r="I92" s="517"/>
      <c r="J92" s="517"/>
      <c r="K92" s="517"/>
      <c r="L92" s="517"/>
      <c r="M92" s="517"/>
      <c r="N92" s="517"/>
      <c r="O92" s="517"/>
      <c r="P92" s="517"/>
      <c r="Q92" s="517"/>
      <c r="R92" s="518">
        <f>[1]IndicadoresAgregado!U144</f>
        <v>0</v>
      </c>
      <c r="S92" s="520">
        <f>S34</f>
        <v>0.21908042111489318</v>
      </c>
      <c r="T92" s="566"/>
      <c r="U92" s="566"/>
      <c r="V92" s="521">
        <f>S92*V95</f>
        <v>1569669.1623837331</v>
      </c>
      <c r="W92" s="522">
        <f>S92*W95</f>
        <v>209953.06580038002</v>
      </c>
      <c r="X92" s="522">
        <f>S92*X95</f>
        <v>37674.225130827013</v>
      </c>
    </row>
    <row r="93" spans="4:26" ht="15.75" thickBot="1">
      <c r="D93" s="523"/>
      <c r="E93" s="512"/>
      <c r="F93" s="512"/>
      <c r="G93" s="512"/>
      <c r="H93" s="512"/>
      <c r="I93" s="512"/>
      <c r="J93" s="512"/>
      <c r="K93" s="512"/>
      <c r="L93" s="512"/>
      <c r="M93" s="512"/>
      <c r="N93" s="512"/>
      <c r="O93" s="512"/>
      <c r="P93" s="512"/>
      <c r="Q93" s="512"/>
      <c r="R93" s="512"/>
      <c r="S93" s="512"/>
      <c r="T93" s="512"/>
      <c r="U93" s="512"/>
      <c r="V93" s="524"/>
      <c r="W93" s="525"/>
      <c r="X93" s="510"/>
    </row>
    <row r="94" spans="4:26" ht="16.5" thickBot="1">
      <c r="D94" s="523"/>
      <c r="E94" s="517" t="s">
        <v>209</v>
      </c>
      <c r="F94" s="517"/>
      <c r="G94" s="517"/>
      <c r="H94" s="517"/>
      <c r="I94" s="517"/>
      <c r="J94" s="517"/>
      <c r="K94" s="517"/>
      <c r="L94" s="517"/>
      <c r="M94" s="517"/>
      <c r="N94" s="517"/>
      <c r="O94" s="517"/>
      <c r="P94" s="517"/>
      <c r="Q94" s="517"/>
      <c r="R94" s="518">
        <f>[1]IndicadoresAgregado!U159</f>
        <v>0</v>
      </c>
      <c r="S94" s="520">
        <f>S36</f>
        <v>0.30414230728292246</v>
      </c>
      <c r="T94" s="566"/>
      <c r="U94" s="566"/>
      <c r="V94" s="521">
        <f>S94*V95</f>
        <v>2179121.2482099198</v>
      </c>
      <c r="W94" s="522">
        <f>S94*W95</f>
        <v>291471.09325740603</v>
      </c>
      <c r="X94" s="522">
        <f>S94*X95</f>
        <v>52301.915881277477</v>
      </c>
    </row>
    <row r="95" spans="4:26" ht="16.5" thickBot="1">
      <c r="D95" s="523"/>
      <c r="E95" s="559" t="s">
        <v>371</v>
      </c>
      <c r="F95" s="560"/>
      <c r="G95" s="560"/>
      <c r="H95" s="560"/>
      <c r="I95" s="560"/>
      <c r="J95" s="560"/>
      <c r="K95" s="560"/>
      <c r="L95" s="560"/>
      <c r="M95" s="560"/>
      <c r="N95" s="560"/>
      <c r="O95" s="560"/>
      <c r="P95" s="560"/>
      <c r="Q95" s="560"/>
      <c r="R95" s="560"/>
      <c r="S95" s="560"/>
      <c r="T95" s="560"/>
      <c r="U95" s="561"/>
      <c r="V95" s="549">
        <f>V78</f>
        <v>7164808.0389645845</v>
      </c>
      <c r="W95" s="550">
        <f>W78</f>
        <v>958337.87762473547</v>
      </c>
      <c r="X95" s="550">
        <f>X78</f>
        <v>171965.27621730915</v>
      </c>
    </row>
    <row r="96" spans="4:26" ht="15">
      <c r="D96" s="537"/>
      <c r="E96" s="523"/>
      <c r="F96" s="523"/>
      <c r="G96" s="523"/>
      <c r="H96" s="523"/>
      <c r="I96" s="523"/>
      <c r="J96" s="523"/>
      <c r="K96" s="523"/>
      <c r="L96" s="523"/>
      <c r="M96" s="523"/>
      <c r="N96" s="523"/>
      <c r="O96" s="523"/>
      <c r="P96" s="523"/>
      <c r="Q96" s="523"/>
      <c r="R96" s="523"/>
      <c r="S96" s="523"/>
      <c r="T96" s="523"/>
      <c r="U96" s="523"/>
      <c r="V96" s="523"/>
      <c r="W96" s="523"/>
      <c r="X96" s="523"/>
      <c r="Y96" s="557"/>
      <c r="Z96" s="537"/>
    </row>
    <row r="97" spans="4:26"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49"/>
      <c r="X97" s="249"/>
      <c r="Y97" s="249"/>
      <c r="Z97" s="249"/>
    </row>
  </sheetData>
  <mergeCells count="73">
    <mergeCell ref="E83:X84"/>
    <mergeCell ref="E81:U81"/>
    <mergeCell ref="S86:U86"/>
    <mergeCell ref="S85:U85"/>
    <mergeCell ref="E61:X62"/>
    <mergeCell ref="S80:U80"/>
    <mergeCell ref="E94:Q94"/>
    <mergeCell ref="E88:Q88"/>
    <mergeCell ref="E90:Q90"/>
    <mergeCell ref="E92:Q92"/>
    <mergeCell ref="S88:U88"/>
    <mergeCell ref="S90:U90"/>
    <mergeCell ref="S92:U92"/>
    <mergeCell ref="R63:U63"/>
    <mergeCell ref="E66:Q66"/>
    <mergeCell ref="R66:U66"/>
    <mergeCell ref="E68:Q68"/>
    <mergeCell ref="R68:U68"/>
    <mergeCell ref="S94:U94"/>
    <mergeCell ref="E95:U95"/>
    <mergeCell ref="E86:Q86"/>
    <mergeCell ref="R64:U64"/>
    <mergeCell ref="E80:Q80"/>
    <mergeCell ref="E76:Q76"/>
    <mergeCell ref="R76:U76"/>
    <mergeCell ref="E78:Q78"/>
    <mergeCell ref="R78:U78"/>
    <mergeCell ref="E70:Q70"/>
    <mergeCell ref="R70:U70"/>
    <mergeCell ref="E72:Q72"/>
    <mergeCell ref="R72:U72"/>
    <mergeCell ref="E74:Q74"/>
    <mergeCell ref="R74:U74"/>
    <mergeCell ref="E64:Q64"/>
    <mergeCell ref="A1:AA2"/>
    <mergeCell ref="D25:AA26"/>
    <mergeCell ref="S14:V14"/>
    <mergeCell ref="A15:V15"/>
    <mergeCell ref="E16:Q16"/>
    <mergeCell ref="S16:V16"/>
    <mergeCell ref="S3:V3"/>
    <mergeCell ref="E4:Q4"/>
    <mergeCell ref="S4:V4"/>
    <mergeCell ref="E6:Q6"/>
    <mergeCell ref="S6:V6"/>
    <mergeCell ref="E8:Q8"/>
    <mergeCell ref="S8:V8"/>
    <mergeCell ref="S36:V36"/>
    <mergeCell ref="E21:Q21"/>
    <mergeCell ref="R21:V21"/>
    <mergeCell ref="E22:Q22"/>
    <mergeCell ref="R22:V22"/>
    <mergeCell ref="E18:Q18"/>
    <mergeCell ref="S18:V18"/>
    <mergeCell ref="E20:Q20"/>
    <mergeCell ref="E10:Q10"/>
    <mergeCell ref="S10:V10"/>
    <mergeCell ref="E12:Q12"/>
    <mergeCell ref="S12:V12"/>
    <mergeCell ref="R20:V20"/>
    <mergeCell ref="E14:Q14"/>
    <mergeCell ref="E36:Q36"/>
    <mergeCell ref="S27:V27"/>
    <mergeCell ref="E23:X23"/>
    <mergeCell ref="E37:X37"/>
    <mergeCell ref="E32:Q32"/>
    <mergeCell ref="S32:V32"/>
    <mergeCell ref="E34:Q34"/>
    <mergeCell ref="S34:V34"/>
    <mergeCell ref="E28:Q28"/>
    <mergeCell ref="S28:V28"/>
    <mergeCell ref="E30:Q30"/>
    <mergeCell ref="S30:V30"/>
  </mergeCells>
  <phoneticPr fontId="9" type="noConversion"/>
  <pageMargins left="0.78740157499999996" right="0.78740157499999996" top="0.984251969" bottom="0.984251969" header="0.49212598499999999" footer="0.49212598499999999"/>
  <pageSetup paperSize="9" scale="50" orientation="landscape" r:id="rId1"/>
  <headerFooter alignWithMargins="0"/>
  <rowBreaks count="1" manualBreakCount="1">
    <brk id="5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zoomScale="85" workbookViewId="0">
      <selection activeCell="Y28" sqref="Y28"/>
    </sheetView>
  </sheetViews>
  <sheetFormatPr defaultRowHeight="12.75"/>
  <cols>
    <col min="1" max="1" width="10.140625" customWidth="1"/>
    <col min="3" max="3" width="11" customWidth="1"/>
    <col min="4" max="4" width="11.7109375" customWidth="1"/>
    <col min="15" max="15" width="16.42578125" customWidth="1"/>
    <col min="16" max="16" width="4" hidden="1" customWidth="1"/>
    <col min="17" max="17" width="0.28515625" customWidth="1"/>
    <col min="18" max="18" width="1.5703125" customWidth="1"/>
    <col min="22" max="22" width="12.85546875" customWidth="1"/>
    <col min="23" max="23" width="16.7109375" customWidth="1"/>
    <col min="24" max="24" width="14.7109375" bestFit="1" customWidth="1"/>
    <col min="25" max="25" width="15.7109375" bestFit="1" customWidth="1"/>
  </cols>
  <sheetData>
    <row r="1" spans="1:25" ht="12.75" customHeight="1">
      <c r="A1" s="471" t="s">
        <v>386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2"/>
    </row>
    <row r="2" spans="1:25" ht="13.5" customHeight="1" thickBot="1">
      <c r="A2" s="474"/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5"/>
    </row>
    <row r="3" spans="1:25" ht="13.5" thickBot="1">
      <c r="A3" s="506"/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276"/>
      <c r="O3" s="483" t="s">
        <v>357</v>
      </c>
      <c r="P3" s="483"/>
      <c r="Q3" s="483"/>
      <c r="R3" s="484"/>
      <c r="S3" s="238" t="s">
        <v>359</v>
      </c>
      <c r="T3" s="239" t="s">
        <v>360</v>
      </c>
      <c r="U3" s="239" t="s">
        <v>372</v>
      </c>
      <c r="V3" s="239" t="s">
        <v>385</v>
      </c>
      <c r="W3" s="246" t="s">
        <v>369</v>
      </c>
    </row>
    <row r="4" spans="1:25" ht="13.5" thickBot="1">
      <c r="A4" s="467" t="s">
        <v>361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235">
        <f>[1]IndicadoresAgregado!R19</f>
        <v>1048.83295</v>
      </c>
      <c r="O4" s="485">
        <f>(N4/N22)</f>
        <v>9.5614480123799167E-2</v>
      </c>
      <c r="P4" s="485"/>
      <c r="Q4" s="485"/>
      <c r="R4" s="486"/>
      <c r="S4" s="237">
        <f>'PART-OCC-UNIR'!Q26</f>
        <v>0.11753673200626809</v>
      </c>
      <c r="T4" s="240">
        <f>(O4*0.8)+(S4*0.2)</f>
        <v>9.999893050029296E-2</v>
      </c>
      <c r="U4" s="270">
        <f>C48</f>
        <v>0.16119200812732815</v>
      </c>
      <c r="V4" s="240">
        <f>T4*U4</f>
        <v>1.6119028417927346E-2</v>
      </c>
      <c r="W4" s="277">
        <f>U4*X23</f>
        <v>300937.86972694658</v>
      </c>
      <c r="X4" s="227">
        <f>T4*W23</f>
        <v>1935984.015169706</v>
      </c>
      <c r="Y4" s="227">
        <f>SUM(W4:X4)</f>
        <v>2236921.8848966528</v>
      </c>
    </row>
    <row r="5" spans="1:25" ht="13.5" thickBot="1">
      <c r="A5" s="255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34"/>
      <c r="O5" s="234"/>
      <c r="P5" s="234"/>
      <c r="Q5" s="234"/>
      <c r="R5" s="234"/>
      <c r="S5" s="25"/>
      <c r="T5" s="25"/>
      <c r="U5" s="257"/>
      <c r="V5" s="257"/>
      <c r="W5" s="248"/>
      <c r="Y5" s="227"/>
    </row>
    <row r="6" spans="1:25" ht="13.5" thickBot="1">
      <c r="A6" s="467" t="s">
        <v>362</v>
      </c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235">
        <f>[1]IndicadoresAgregado!R30+[1]IndicadoresAgregado!R34</f>
        <v>685.25540000000012</v>
      </c>
      <c r="O6" s="485">
        <f>(N6/N22)</f>
        <v>6.2469756335387878E-2</v>
      </c>
      <c r="P6" s="485"/>
      <c r="Q6" s="485"/>
      <c r="R6" s="486"/>
      <c r="S6" s="237">
        <f>'PART-OCC-UNIR'!Q44</f>
        <v>0.15540950010747867</v>
      </c>
      <c r="T6" s="240">
        <f>(O6*0.8)+(S6*0.2)</f>
        <v>8.1057705089806045E-2</v>
      </c>
      <c r="U6" s="270">
        <f>C44</f>
        <v>0.110734845919404</v>
      </c>
      <c r="V6" s="240">
        <f>T6*U6</f>
        <v>8.9759124837001606E-3</v>
      </c>
      <c r="W6" s="245">
        <f>U6*X23</f>
        <v>206736.72983342755</v>
      </c>
      <c r="X6" s="227">
        <f>T6*W23</f>
        <v>1569280.9970577124</v>
      </c>
      <c r="Y6" s="227">
        <f t="shared" ref="Y6:Y18" si="0">SUM(W6:X6)</f>
        <v>1776017.72689114</v>
      </c>
    </row>
    <row r="7" spans="1:25" ht="13.5" thickBot="1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34"/>
      <c r="O7" s="234"/>
      <c r="P7" s="234"/>
      <c r="Q7" s="234"/>
      <c r="R7" s="234"/>
      <c r="S7" s="25"/>
      <c r="T7" s="25"/>
      <c r="U7" s="257"/>
      <c r="V7" s="257"/>
      <c r="W7" s="248"/>
      <c r="Y7" s="227"/>
    </row>
    <row r="8" spans="1:25" ht="13.5" thickBot="1">
      <c r="A8" s="467" t="s">
        <v>363</v>
      </c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235">
        <f>[1]IndicadoresAgregado!R49</f>
        <v>1128.964925</v>
      </c>
      <c r="O8" s="485">
        <f>(N8/N22)</f>
        <v>0.10291953011380785</v>
      </c>
      <c r="P8" s="485"/>
      <c r="Q8" s="485"/>
      <c r="R8" s="486"/>
      <c r="S8" s="237">
        <f>'PART-OCC-UNIR'!Q71</f>
        <v>0.11249723515910059</v>
      </c>
      <c r="T8" s="240">
        <f>(O8*0.8)+(S8*0.2)</f>
        <v>0.1048350711228664</v>
      </c>
      <c r="U8" s="270">
        <f>C45</f>
        <v>0.12529630883846934</v>
      </c>
      <c r="V8" s="240">
        <f>T8*U8</f>
        <v>1.3135447448513568E-2</v>
      </c>
      <c r="W8" s="245">
        <f>U8*X23</f>
        <v>233922.29369531557</v>
      </c>
      <c r="X8" s="227">
        <f>T8*W23</f>
        <v>2029611.9259240876</v>
      </c>
      <c r="Y8" s="227">
        <f t="shared" si="0"/>
        <v>2263534.2196194031</v>
      </c>
    </row>
    <row r="9" spans="1:25" ht="13.5" thickBot="1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34"/>
      <c r="O9" s="234"/>
      <c r="P9" s="234"/>
      <c r="Q9" s="234"/>
      <c r="R9" s="234"/>
      <c r="S9" s="25"/>
      <c r="T9" s="25"/>
      <c r="U9" s="257"/>
      <c r="V9" s="272"/>
      <c r="W9" s="248"/>
      <c r="Y9" s="227"/>
    </row>
    <row r="10" spans="1:25" ht="13.5" thickBot="1">
      <c r="A10" s="467" t="s">
        <v>364</v>
      </c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235">
        <f>[1]IndicadoresAgregado!R61</f>
        <v>1540.44</v>
      </c>
      <c r="O10" s="485">
        <f>(N10/N22)</f>
        <v>0.14043072327381134</v>
      </c>
      <c r="P10" s="485"/>
      <c r="Q10" s="485"/>
      <c r="R10" s="486"/>
      <c r="S10" s="237">
        <f>'PART-OCC-UNIR'!Q90</f>
        <v>0.14504902622408389</v>
      </c>
      <c r="T10" s="240">
        <f>(O10*0.8)+(S10*0.2)</f>
        <v>0.14135438386386584</v>
      </c>
      <c r="U10" s="270">
        <f>C47</f>
        <v>0.16153064679986454</v>
      </c>
      <c r="V10" s="240">
        <f>T10*U10</f>
        <v>2.2833065053526586E-2</v>
      </c>
      <c r="W10" s="245">
        <f>U10*X23</f>
        <v>301570.09214233927</v>
      </c>
      <c r="X10" s="227">
        <f>T10*W23</f>
        <v>2736627.5445696409</v>
      </c>
      <c r="Y10" s="227">
        <f t="shared" si="0"/>
        <v>3038197.6367119802</v>
      </c>
    </row>
    <row r="11" spans="1:25" ht="13.5" thickBot="1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34"/>
      <c r="O11" s="234"/>
      <c r="P11" s="234"/>
      <c r="Q11" s="234"/>
      <c r="R11" s="234"/>
      <c r="S11" s="25"/>
      <c r="T11" s="25"/>
      <c r="U11" s="257"/>
      <c r="V11" s="272"/>
      <c r="W11" s="248"/>
      <c r="Y11" s="227"/>
    </row>
    <row r="12" spans="1:25" ht="13.5" thickBot="1">
      <c r="A12" s="467" t="s">
        <v>365</v>
      </c>
      <c r="B12" s="467"/>
      <c r="C12" s="467"/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235">
        <f>[1]IndicadoresAgregado!R76</f>
        <v>720.26570000000004</v>
      </c>
      <c r="O12" s="485">
        <f>(N12/N22)</f>
        <v>6.5661391031340402E-2</v>
      </c>
      <c r="P12" s="485"/>
      <c r="Q12" s="485"/>
      <c r="R12" s="486"/>
      <c r="S12" s="237">
        <f>'PART-OCC-UNIR'!Q113</f>
        <v>0.10393310554064605</v>
      </c>
      <c r="T12" s="240">
        <f>(O12*0.8)+(S12*0.2)</f>
        <v>7.3315733933201538E-2</v>
      </c>
      <c r="U12" s="270">
        <f>C49</f>
        <v>0.23670843210294615</v>
      </c>
      <c r="V12" s="240">
        <f>T12*U12</f>
        <v>1.7354452427804902E-2</v>
      </c>
      <c r="W12" s="245">
        <f>U12*X23</f>
        <v>441923.46835952863</v>
      </c>
      <c r="X12" s="227">
        <f>T12*W23</f>
        <v>1419396.0699879439</v>
      </c>
      <c r="Y12" s="227">
        <f t="shared" si="0"/>
        <v>1861319.5383474724</v>
      </c>
    </row>
    <row r="13" spans="1:25" ht="13.5" thickBot="1">
      <c r="A13" s="255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34"/>
      <c r="O13" s="234"/>
      <c r="P13" s="234"/>
      <c r="Q13" s="234"/>
      <c r="R13" s="234"/>
      <c r="S13" s="25"/>
      <c r="T13" s="25"/>
      <c r="U13" s="257"/>
      <c r="V13" s="272"/>
      <c r="W13" s="248"/>
      <c r="Y13" s="227"/>
    </row>
    <row r="14" spans="1:25" ht="13.5" thickBot="1">
      <c r="A14" s="467" t="s">
        <v>366</v>
      </c>
      <c r="B14" s="467"/>
      <c r="C14" s="467"/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235">
        <f>[1]IndicadoresAgregado!R88</f>
        <v>375.70500000000004</v>
      </c>
      <c r="O14" s="485">
        <f>(N14/N22)</f>
        <v>3.4250295297179566E-2</v>
      </c>
      <c r="P14" s="485"/>
      <c r="Q14" s="485"/>
      <c r="R14" s="486"/>
      <c r="S14" s="237">
        <f>'PART-OCC-UNIR'!Q131</f>
        <v>0.10016326372154166</v>
      </c>
      <c r="T14" s="240">
        <f>(O14*0.8)+(S14*0.2)</f>
        <v>4.7432888982051988E-2</v>
      </c>
      <c r="U14" s="270">
        <f>C43</f>
        <v>6.7389095834744325E-2</v>
      </c>
      <c r="V14" s="240">
        <f>T14*U14</f>
        <v>3.1964595013302898E-3</v>
      </c>
      <c r="W14" s="245">
        <f>U14*X23</f>
        <v>125812.26066315622</v>
      </c>
      <c r="X14" s="227">
        <f>T14*W23</f>
        <v>918302.96987329167</v>
      </c>
      <c r="Y14" s="227">
        <f t="shared" si="0"/>
        <v>1044115.2305364478</v>
      </c>
    </row>
    <row r="15" spans="1:25" ht="13.5" thickBot="1">
      <c r="A15" s="481"/>
      <c r="B15" s="481"/>
      <c r="C15" s="481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481"/>
      <c r="Q15" s="481"/>
      <c r="R15" s="481"/>
      <c r="S15" s="25"/>
      <c r="T15" s="25"/>
      <c r="U15" s="257"/>
      <c r="V15" s="272"/>
      <c r="W15" s="248"/>
      <c r="Y15" s="227"/>
    </row>
    <row r="16" spans="1:25" ht="13.5" thickBot="1">
      <c r="A16" s="482" t="s">
        <v>367</v>
      </c>
      <c r="B16" s="482"/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236">
        <f>[1]IndicadoresAgregado!R93</f>
        <v>316.8</v>
      </c>
      <c r="O16" s="485">
        <f>(N16/N22)</f>
        <v>2.888035440078382E-2</v>
      </c>
      <c r="P16" s="485"/>
      <c r="Q16" s="485"/>
      <c r="R16" s="486"/>
      <c r="S16" s="237">
        <f>'PART-OCC-UNIR'!Q145</f>
        <v>0.11552099472087604</v>
      </c>
      <c r="T16" s="240">
        <f>(O16*0.8)+(S16*0.2)</f>
        <v>4.6208482464802268E-2</v>
      </c>
      <c r="U16" s="270">
        <f>C46</f>
        <v>0.13714866237724349</v>
      </c>
      <c r="V16" s="240">
        <f>T16*U16</f>
        <v>6.337431560529942E-3</v>
      </c>
      <c r="W16" s="245">
        <f>U16*X23</f>
        <v>256050.07823406169</v>
      </c>
      <c r="X16" s="227">
        <f>T16*W23</f>
        <v>894598.40189835592</v>
      </c>
      <c r="Y16" s="227">
        <f t="shared" si="0"/>
        <v>1150648.4801324175</v>
      </c>
    </row>
    <row r="17" spans="1:25" ht="13.5" thickBot="1">
      <c r="A17" s="234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5"/>
      <c r="T17" s="25"/>
      <c r="U17" s="257"/>
      <c r="V17" s="272"/>
      <c r="W17" s="248"/>
      <c r="Y17" s="227"/>
    </row>
    <row r="18" spans="1:25" ht="13.5" thickBot="1">
      <c r="A18" s="467" t="s">
        <v>368</v>
      </c>
      <c r="B18" s="467"/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235">
        <f>[1]IndicadoresAgregado!R138+[1]IndicadoresAgregado!R151</f>
        <v>5153.1305000000002</v>
      </c>
      <c r="O18" s="485">
        <f>((N18)/N22)</f>
        <v>0.46977346942388992</v>
      </c>
      <c r="P18" s="485"/>
      <c r="Q18" s="485"/>
      <c r="R18" s="486"/>
      <c r="S18" s="237">
        <f>'PART-OCC-UNIR'!Q193</f>
        <v>0.14989014252000504</v>
      </c>
      <c r="T18" s="240">
        <f>(O18*0.8)+(S18*0.2)</f>
        <v>0.40579680404311297</v>
      </c>
      <c r="U18" s="270">
        <f>C42</f>
        <v>0</v>
      </c>
      <c r="V18" s="240">
        <f>T18*U18</f>
        <v>0</v>
      </c>
      <c r="W18" s="245">
        <f>U18*X23</f>
        <v>0</v>
      </c>
      <c r="X18" s="227">
        <f>T18*W23</f>
        <v>7856245.2828644868</v>
      </c>
      <c r="Y18" s="227">
        <f t="shared" si="0"/>
        <v>7856245.2828644868</v>
      </c>
    </row>
    <row r="19" spans="1:25" ht="13.5" thickBot="1">
      <c r="A19" s="234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5"/>
      <c r="T19" s="274">
        <f>T4+T6+T8+T10+T12+T14+T16+T18</f>
        <v>1</v>
      </c>
      <c r="U19" s="25"/>
      <c r="V19" s="274">
        <f>(V4+V6+V8+V10+V12+V14+V16+V18)</f>
        <v>8.7951796893332809E-2</v>
      </c>
      <c r="W19" s="248"/>
      <c r="Y19" s="227">
        <f>SUM(Y4:Y18)</f>
        <v>21227000</v>
      </c>
    </row>
    <row r="20" spans="1:25" ht="13.5" thickBot="1">
      <c r="A20" s="480" t="s">
        <v>168</v>
      </c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7"/>
      <c r="N20" s="488">
        <f>'PART-OCC-UNIR'!Q211</f>
        <v>10655.394475000001</v>
      </c>
      <c r="O20" s="489"/>
      <c r="P20" s="489"/>
      <c r="Q20" s="489"/>
      <c r="R20" s="490"/>
      <c r="S20" s="48"/>
      <c r="T20" s="25"/>
      <c r="U20" s="25"/>
      <c r="V20" s="25"/>
      <c r="W20" s="248"/>
      <c r="Y20" s="227"/>
    </row>
    <row r="21" spans="1:25" ht="13.5" thickBot="1">
      <c r="A21" s="477" t="s">
        <v>169</v>
      </c>
      <c r="B21" s="477"/>
      <c r="C21" s="477"/>
      <c r="D21" s="477"/>
      <c r="E21" s="477"/>
      <c r="F21" s="477"/>
      <c r="G21" s="477"/>
      <c r="H21" s="477"/>
      <c r="I21" s="477"/>
      <c r="J21" s="477"/>
      <c r="K21" s="477"/>
      <c r="L21" s="477"/>
      <c r="M21" s="491"/>
      <c r="N21" s="492">
        <f>[1]IndicadoresAgregado!R154</f>
        <v>314</v>
      </c>
      <c r="O21" s="478"/>
      <c r="P21" s="478"/>
      <c r="Q21" s="478"/>
      <c r="R21" s="493"/>
      <c r="S21" s="25"/>
      <c r="T21" s="48"/>
      <c r="U21" s="48"/>
      <c r="V21" s="48"/>
      <c r="W21" s="248"/>
    </row>
    <row r="22" spans="1:25" ht="13.5" thickBot="1">
      <c r="A22" s="479" t="s">
        <v>358</v>
      </c>
      <c r="B22" s="479"/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96"/>
      <c r="N22" s="497">
        <f>SUM(N20:R21)</f>
        <v>10969.394475000001</v>
      </c>
      <c r="O22" s="498"/>
      <c r="P22" s="498"/>
      <c r="Q22" s="498"/>
      <c r="R22" s="499"/>
      <c r="S22" s="25"/>
      <c r="T22" s="25"/>
      <c r="U22" s="25"/>
      <c r="V22" s="25"/>
      <c r="W22" s="248"/>
    </row>
    <row r="23" spans="1:25" ht="13.5" thickBot="1">
      <c r="A23" s="292" t="s">
        <v>370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4"/>
      <c r="W23" s="253">
        <f>21227000-X23</f>
        <v>19360047.207345225</v>
      </c>
      <c r="X23" s="226">
        <f>V19*21227000</f>
        <v>1866952.7926547755</v>
      </c>
    </row>
    <row r="24" spans="1: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4"/>
    </row>
    <row r="25" spans="1:25" ht="12.75" customHeight="1">
      <c r="A25" s="476" t="s">
        <v>387</v>
      </c>
      <c r="B25" s="476"/>
      <c r="C25" s="476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476"/>
      <c r="Q25" s="476"/>
      <c r="R25" s="476"/>
      <c r="S25" s="476"/>
      <c r="T25" s="476"/>
      <c r="U25" s="476"/>
      <c r="V25" s="476"/>
      <c r="W25" s="476"/>
      <c r="X25" s="241"/>
      <c r="Y25" s="273"/>
    </row>
    <row r="26" spans="1:25" ht="13.5" customHeight="1" thickBot="1">
      <c r="A26" s="476"/>
      <c r="B26" s="476"/>
      <c r="C26" s="476"/>
      <c r="D26" s="476"/>
      <c r="E26" s="476"/>
      <c r="F26" s="476"/>
      <c r="G26" s="476"/>
      <c r="H26" s="476"/>
      <c r="I26" s="476"/>
      <c r="J26" s="476"/>
      <c r="K26" s="476"/>
      <c r="L26" s="476"/>
      <c r="M26" s="476"/>
      <c r="N26" s="476"/>
      <c r="O26" s="476"/>
      <c r="P26" s="476"/>
      <c r="Q26" s="476"/>
      <c r="R26" s="476"/>
      <c r="S26" s="476"/>
      <c r="T26" s="476"/>
      <c r="U26" s="476"/>
      <c r="V26" s="476"/>
      <c r="W26" s="476"/>
      <c r="X26" s="241"/>
      <c r="Y26" s="273"/>
    </row>
    <row r="27" spans="1:25" ht="16.5" thickBot="1">
      <c r="A27" s="242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468" t="s">
        <v>357</v>
      </c>
      <c r="P27" s="469"/>
      <c r="Q27" s="469"/>
      <c r="R27" s="470"/>
      <c r="S27" s="243" t="s">
        <v>359</v>
      </c>
      <c r="T27" s="244" t="s">
        <v>360</v>
      </c>
      <c r="U27" s="256"/>
      <c r="V27" s="239" t="s">
        <v>385</v>
      </c>
      <c r="W27" s="247" t="s">
        <v>369</v>
      </c>
    </row>
    <row r="28" spans="1:25" ht="13.5" thickBot="1">
      <c r="A28" s="467" t="s">
        <v>206</v>
      </c>
      <c r="B28" s="467"/>
      <c r="C28" s="467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235">
        <f>[1]IndicadoresAgregado!R42</f>
        <v>141.9</v>
      </c>
      <c r="O28" s="485">
        <f>'PART-OCC-NÚCLEOS-PVH'!Q18</f>
        <v>0.13958029978088077</v>
      </c>
      <c r="P28" s="485"/>
      <c r="Q28" s="485"/>
      <c r="R28" s="486"/>
      <c r="S28" s="237">
        <f>'PART-OCC-NÚCLEOS-PVH'!Q19</f>
        <v>0.28598887840770409</v>
      </c>
      <c r="T28" s="240">
        <f>(O28*0.8)+(S28*0.2)</f>
        <v>0.16886201550624544</v>
      </c>
      <c r="U28" s="271">
        <v>0</v>
      </c>
      <c r="V28" s="240">
        <f>T28*U28</f>
        <v>0</v>
      </c>
      <c r="W28" s="245">
        <f>T28*W37</f>
        <v>1326621.4127759305</v>
      </c>
    </row>
    <row r="29" spans="1:25" ht="13.5" thickBot="1">
      <c r="A29" s="234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5"/>
      <c r="T29" s="25"/>
      <c r="U29" s="269"/>
      <c r="V29" s="269"/>
      <c r="W29" s="248"/>
    </row>
    <row r="30" spans="1:25" ht="13.5" thickBot="1">
      <c r="A30" s="467" t="s">
        <v>207</v>
      </c>
      <c r="B30" s="467"/>
      <c r="C30" s="467"/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235">
        <f>[1]IndicadoresAgregado!R53+[1]IndicadoresAgregado!R57</f>
        <v>382.8</v>
      </c>
      <c r="O30" s="485">
        <f>'PART-OCC-NÚCLEOS-PVH'!Q31</f>
        <v>0.15430523251836917</v>
      </c>
      <c r="P30" s="485"/>
      <c r="Q30" s="485"/>
      <c r="R30" s="486"/>
      <c r="S30" s="237">
        <f>'PART-OCC-NÚCLEOS-PVH'!Q32</f>
        <v>0.19870469644090502</v>
      </c>
      <c r="T30" s="240">
        <f>(O30*0.8)+(S30*0.2)</f>
        <v>0.16318512530287635</v>
      </c>
      <c r="U30" s="271">
        <v>0</v>
      </c>
      <c r="V30" s="240">
        <f>T30*U30</f>
        <v>0</v>
      </c>
      <c r="W30" s="245">
        <f>T30*W37</f>
        <v>1282022.3708943725</v>
      </c>
    </row>
    <row r="31" spans="1:25" ht="13.5" thickBot="1">
      <c r="A31" s="234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5"/>
      <c r="T31" s="25"/>
      <c r="U31" s="269"/>
      <c r="V31" s="269"/>
      <c r="W31" s="248"/>
    </row>
    <row r="32" spans="1:25" ht="13.5" thickBot="1">
      <c r="A32" s="467" t="s">
        <v>210</v>
      </c>
      <c r="B32" s="467"/>
      <c r="C32" s="467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235">
        <f>[1]IndicadoresAgregado!R72</f>
        <v>148.08090000000001</v>
      </c>
      <c r="O32" s="485">
        <f>'PART-OCC-NÚCLEOS-PVH'!Q46</f>
        <v>0.1828917393029344</v>
      </c>
      <c r="P32" s="485"/>
      <c r="Q32" s="485"/>
      <c r="R32" s="486"/>
      <c r="S32" s="237">
        <f>'PART-OCC-NÚCLEOS-PVH'!Q47</f>
        <v>0.22930488895999929</v>
      </c>
      <c r="T32" s="240">
        <f>(O32*0.8)+(S32*0.2)</f>
        <v>0.19217436923434739</v>
      </c>
      <c r="U32" s="271">
        <v>0</v>
      </c>
      <c r="V32" s="240">
        <f>T32*U32</f>
        <v>0</v>
      </c>
      <c r="W32" s="245">
        <f>T32*W37</f>
        <v>1509768.9817847998</v>
      </c>
    </row>
    <row r="33" spans="1:23" ht="13.5" thickBot="1">
      <c r="A33" s="234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5"/>
      <c r="T33" s="25"/>
      <c r="U33" s="269"/>
      <c r="V33" s="269"/>
      <c r="W33" s="248"/>
    </row>
    <row r="34" spans="1:23" ht="13.5" thickBot="1">
      <c r="A34" s="467" t="s">
        <v>208</v>
      </c>
      <c r="B34" s="467"/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235">
        <f>[1]IndicadoresAgregado!R84</f>
        <v>0</v>
      </c>
      <c r="O34" s="485">
        <f>'PART-OCC-NÚCLEOS-PVH'!Q67</f>
        <v>0.21908042111489318</v>
      </c>
      <c r="P34" s="485"/>
      <c r="Q34" s="485"/>
      <c r="R34" s="486"/>
      <c r="S34" s="237">
        <f>'PART-OCC-NÚCLEOS-PVH'!Q68</f>
        <v>9.8981376931080958E-2</v>
      </c>
      <c r="T34" s="240">
        <f>(O34*0.8)+(S34*0.2)</f>
        <v>0.19506061227813076</v>
      </c>
      <c r="U34" s="271">
        <v>0</v>
      </c>
      <c r="V34" s="240">
        <f>T34*U34</f>
        <v>0</v>
      </c>
      <c r="W34" s="245">
        <f>T34*W37</f>
        <v>1532444.0150827235</v>
      </c>
    </row>
    <row r="35" spans="1:23" ht="13.5" thickBot="1">
      <c r="A35" s="234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5"/>
      <c r="T35" s="25"/>
      <c r="U35" s="269"/>
      <c r="V35" s="269"/>
      <c r="W35" s="248"/>
    </row>
    <row r="36" spans="1:23" ht="13.5" thickBot="1">
      <c r="A36" s="467" t="s">
        <v>209</v>
      </c>
      <c r="B36" s="467"/>
      <c r="C36" s="467"/>
      <c r="D36" s="467"/>
      <c r="E36" s="467"/>
      <c r="F36" s="467"/>
      <c r="G36" s="467"/>
      <c r="H36" s="467"/>
      <c r="I36" s="467"/>
      <c r="J36" s="467"/>
      <c r="K36" s="467"/>
      <c r="L36" s="467"/>
      <c r="M36" s="467"/>
      <c r="N36" s="235" t="str">
        <f>[1]IndicadoresAgregado!R99</f>
        <v>TAEG</v>
      </c>
      <c r="O36" s="485">
        <f>'PART-OCC-NÚCLEOS-PVH'!Q81</f>
        <v>0.30414230728292246</v>
      </c>
      <c r="P36" s="485"/>
      <c r="Q36" s="485"/>
      <c r="R36" s="486"/>
      <c r="S36" s="237">
        <f>'PART-OCC-NÚCLEOS-PVH'!Q82</f>
        <v>0.18702015926031063</v>
      </c>
      <c r="T36" s="240">
        <f>(O36*0.8)+(S36*0.2)</f>
        <v>0.28071787767840012</v>
      </c>
      <c r="U36" s="271">
        <v>0</v>
      </c>
      <c r="V36" s="240">
        <f>T36*U36</f>
        <v>0</v>
      </c>
      <c r="W36" s="245">
        <f>T36*W37</f>
        <v>2205388.5023266608</v>
      </c>
    </row>
    <row r="37" spans="1:23" ht="13.5" thickBot="1">
      <c r="A37" s="503" t="s">
        <v>371</v>
      </c>
      <c r="B37" s="504"/>
      <c r="C37" s="504"/>
      <c r="D37" s="504"/>
      <c r="E37" s="504"/>
      <c r="F37" s="504"/>
      <c r="G37" s="504"/>
      <c r="H37" s="504"/>
      <c r="I37" s="504"/>
      <c r="J37" s="504"/>
      <c r="K37" s="504"/>
      <c r="L37" s="504"/>
      <c r="M37" s="504"/>
      <c r="N37" s="504"/>
      <c r="O37" s="504"/>
      <c r="P37" s="504"/>
      <c r="Q37" s="504"/>
      <c r="R37" s="504"/>
      <c r="S37" s="504"/>
      <c r="T37" s="504"/>
      <c r="U37" s="504"/>
      <c r="V37" s="505"/>
      <c r="W37" s="252">
        <f>X18</f>
        <v>7856245.2828644868</v>
      </c>
    </row>
    <row r="38" spans="1:23" ht="13.5" thickBot="1">
      <c r="A38" s="250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1"/>
    </row>
    <row r="39" spans="1:23" ht="13.5" thickBot="1"/>
    <row r="40" spans="1:23" ht="13.5" thickBot="1">
      <c r="A40" s="500" t="s">
        <v>388</v>
      </c>
      <c r="B40" s="501"/>
      <c r="C40" s="501"/>
      <c r="D40" s="502"/>
      <c r="E40" s="259"/>
    </row>
    <row r="41" spans="1:23" ht="13.5" thickBot="1">
      <c r="A41" s="500" t="s">
        <v>381</v>
      </c>
      <c r="B41" s="501"/>
      <c r="C41" s="266" t="s">
        <v>382</v>
      </c>
      <c r="D41" s="267" t="s">
        <v>384</v>
      </c>
      <c r="E41" s="259"/>
    </row>
    <row r="42" spans="1:23">
      <c r="A42" s="494" t="s">
        <v>373</v>
      </c>
      <c r="B42" s="495"/>
      <c r="C42" s="261">
        <f>(D42/D50)</f>
        <v>0</v>
      </c>
      <c r="D42" s="260">
        <v>0</v>
      </c>
      <c r="E42" s="249"/>
      <c r="F42" s="263"/>
      <c r="O42" s="227">
        <f>C42*X23</f>
        <v>0</v>
      </c>
    </row>
    <row r="43" spans="1:23">
      <c r="A43" s="370" t="s">
        <v>374</v>
      </c>
      <c r="B43" s="507"/>
      <c r="C43" s="262">
        <f>(D43/D50)</f>
        <v>6.7389095834744325E-2</v>
      </c>
      <c r="D43" s="258">
        <v>199</v>
      </c>
      <c r="E43" s="249"/>
      <c r="F43" s="263"/>
      <c r="O43" s="227">
        <f>C43*X23</f>
        <v>125812.26066315622</v>
      </c>
    </row>
    <row r="44" spans="1:23">
      <c r="A44" s="370" t="s">
        <v>375</v>
      </c>
      <c r="B44" s="507"/>
      <c r="C44" s="262">
        <f>(D44/D50)</f>
        <v>0.110734845919404</v>
      </c>
      <c r="D44" s="258">
        <v>327</v>
      </c>
      <c r="E44" s="249"/>
      <c r="F44" s="263"/>
      <c r="H44" s="275"/>
      <c r="O44" s="227">
        <f>C44*X23</f>
        <v>206736.72983342755</v>
      </c>
    </row>
    <row r="45" spans="1:23">
      <c r="A45" s="370" t="s">
        <v>376</v>
      </c>
      <c r="B45" s="507"/>
      <c r="C45" s="262">
        <f>(D45/D50)</f>
        <v>0.12529630883846934</v>
      </c>
      <c r="D45" s="258">
        <v>370</v>
      </c>
      <c r="E45" s="249"/>
      <c r="F45" s="263"/>
      <c r="O45" s="227">
        <f>C45*X23</f>
        <v>233922.29369531557</v>
      </c>
    </row>
    <row r="46" spans="1:23">
      <c r="A46" s="370" t="s">
        <v>377</v>
      </c>
      <c r="B46" s="507"/>
      <c r="C46" s="262">
        <f>(D46/D50)</f>
        <v>0.13714866237724349</v>
      </c>
      <c r="D46" s="258">
        <v>405</v>
      </c>
      <c r="E46" s="249"/>
      <c r="F46" s="263"/>
      <c r="O46" s="227">
        <f>C46*X23</f>
        <v>256050.07823406169</v>
      </c>
    </row>
    <row r="47" spans="1:23">
      <c r="A47" s="370" t="s">
        <v>378</v>
      </c>
      <c r="B47" s="507"/>
      <c r="C47" s="262">
        <f>(D47/D50)</f>
        <v>0.16153064679986454</v>
      </c>
      <c r="D47" s="258">
        <v>477</v>
      </c>
      <c r="E47" s="249"/>
      <c r="F47" s="263"/>
      <c r="O47" s="227">
        <f>C47*X23</f>
        <v>301570.09214233927</v>
      </c>
    </row>
    <row r="48" spans="1:23">
      <c r="A48" s="370" t="s">
        <v>379</v>
      </c>
      <c r="B48" s="507"/>
      <c r="C48" s="262">
        <f>(D48/D50)</f>
        <v>0.16119200812732815</v>
      </c>
      <c r="D48" s="258">
        <v>476</v>
      </c>
      <c r="E48" s="249"/>
      <c r="F48" s="263"/>
      <c r="O48" s="227">
        <f>C48*X23</f>
        <v>300937.86972694658</v>
      </c>
    </row>
    <row r="49" spans="1:15" ht="13.5" thickBot="1">
      <c r="A49" s="508" t="s">
        <v>380</v>
      </c>
      <c r="B49" s="509"/>
      <c r="C49" s="264">
        <f>(D49/D50)</f>
        <v>0.23670843210294615</v>
      </c>
      <c r="D49" s="265">
        <v>699</v>
      </c>
      <c r="E49" s="249"/>
      <c r="F49" s="263"/>
      <c r="O49" s="227">
        <f>C49*X23</f>
        <v>441923.46835952863</v>
      </c>
    </row>
    <row r="50" spans="1:15" ht="13.5" thickBot="1">
      <c r="A50" s="500" t="s">
        <v>383</v>
      </c>
      <c r="B50" s="501"/>
      <c r="C50" s="502"/>
      <c r="D50" s="268">
        <f>SUM(D42:D49)</f>
        <v>2953</v>
      </c>
      <c r="F50" s="263"/>
      <c r="O50" s="227">
        <f>SUM(O43:O49)</f>
        <v>1866952.7926547755</v>
      </c>
    </row>
    <row r="51" spans="1:15">
      <c r="A51" t="s">
        <v>389</v>
      </c>
    </row>
    <row r="55" spans="1:15">
      <c r="B55" s="279" t="s">
        <v>361</v>
      </c>
      <c r="C55" s="279" t="s">
        <v>390</v>
      </c>
      <c r="D55" s="279" t="s">
        <v>391</v>
      </c>
      <c r="E55" s="279" t="s">
        <v>364</v>
      </c>
      <c r="F55" s="279" t="s">
        <v>365</v>
      </c>
      <c r="G55" s="279" t="s">
        <v>366</v>
      </c>
      <c r="H55" s="279" t="s">
        <v>367</v>
      </c>
      <c r="I55" s="279" t="s">
        <v>368</v>
      </c>
    </row>
    <row r="56" spans="1:15">
      <c r="A56" s="279" t="s">
        <v>392</v>
      </c>
      <c r="B56" s="278">
        <f>O4</f>
        <v>9.5614480123799167E-2</v>
      </c>
      <c r="C56" s="278">
        <f>O6</f>
        <v>6.2469756335387878E-2</v>
      </c>
      <c r="D56" s="278">
        <f>O8</f>
        <v>0.10291953011380785</v>
      </c>
      <c r="E56" s="278">
        <f>O10</f>
        <v>0.14043072327381134</v>
      </c>
      <c r="F56" s="278">
        <f>O12</f>
        <v>6.5661391031340402E-2</v>
      </c>
      <c r="G56" s="278">
        <f>O14</f>
        <v>3.4250295297179566E-2</v>
      </c>
      <c r="H56" s="278">
        <f>O16</f>
        <v>2.888035440078382E-2</v>
      </c>
      <c r="I56" s="278">
        <f>O18</f>
        <v>0.46977346942388992</v>
      </c>
    </row>
    <row r="57" spans="1:15">
      <c r="A57" s="279" t="s">
        <v>359</v>
      </c>
      <c r="B57" s="278">
        <f>S4</f>
        <v>0.11753673200626809</v>
      </c>
      <c r="C57" s="278">
        <f>S6</f>
        <v>0.15540950010747867</v>
      </c>
      <c r="D57" s="278">
        <f>S8</f>
        <v>0.11249723515910059</v>
      </c>
      <c r="E57" s="278">
        <f>S10</f>
        <v>0.14504902622408389</v>
      </c>
      <c r="F57" s="278">
        <f>S12</f>
        <v>0.10393310554064605</v>
      </c>
      <c r="G57" s="278">
        <f>S14</f>
        <v>0.10016326372154166</v>
      </c>
      <c r="H57" s="278">
        <f>S16</f>
        <v>0.11552099472087604</v>
      </c>
      <c r="I57" s="278">
        <f>S18</f>
        <v>0.14989014252000504</v>
      </c>
    </row>
    <row r="58" spans="1:15">
      <c r="A58" s="279" t="s">
        <v>360</v>
      </c>
      <c r="B58" s="278">
        <f>T4</f>
        <v>9.999893050029296E-2</v>
      </c>
      <c r="C58" s="278">
        <f>T6</f>
        <v>8.1057705089806045E-2</v>
      </c>
      <c r="D58" s="278">
        <f>T8</f>
        <v>0.1048350711228664</v>
      </c>
      <c r="E58" s="278">
        <f>T10</f>
        <v>0.14135438386386584</v>
      </c>
      <c r="F58" s="278">
        <f>T12</f>
        <v>7.3315733933201538E-2</v>
      </c>
      <c r="G58" s="278">
        <f>T14</f>
        <v>4.7432888982051988E-2</v>
      </c>
      <c r="H58" s="278">
        <f>T16</f>
        <v>4.6208482464802268E-2</v>
      </c>
      <c r="I58" s="278">
        <f>T18</f>
        <v>0.40579680404311297</v>
      </c>
    </row>
    <row r="61" spans="1:15">
      <c r="B61" s="279" t="s">
        <v>368</v>
      </c>
    </row>
    <row r="62" spans="1:15">
      <c r="B62" s="279" t="s">
        <v>393</v>
      </c>
      <c r="C62" s="279" t="s">
        <v>394</v>
      </c>
      <c r="D62" s="279" t="s">
        <v>395</v>
      </c>
      <c r="E62" s="279" t="s">
        <v>396</v>
      </c>
      <c r="F62" s="279" t="s">
        <v>397</v>
      </c>
    </row>
    <row r="63" spans="1:15">
      <c r="A63" s="279" t="s">
        <v>392</v>
      </c>
      <c r="B63" s="278">
        <f>O28</f>
        <v>0.13958029978088077</v>
      </c>
      <c r="C63" s="278">
        <f>O30</f>
        <v>0.15430523251836917</v>
      </c>
      <c r="D63" s="278">
        <f>O32</f>
        <v>0.1828917393029344</v>
      </c>
      <c r="E63" s="278">
        <f>O34</f>
        <v>0.21908042111489318</v>
      </c>
      <c r="F63" s="278">
        <f>O36</f>
        <v>0.30414230728292246</v>
      </c>
    </row>
    <row r="64" spans="1:15">
      <c r="A64" s="279" t="s">
        <v>359</v>
      </c>
      <c r="B64" s="278">
        <f>S28</f>
        <v>0.28598887840770409</v>
      </c>
      <c r="C64" s="278">
        <f>S30</f>
        <v>0.19870469644090502</v>
      </c>
      <c r="D64" s="278">
        <f>S32</f>
        <v>0.22930488895999929</v>
      </c>
      <c r="E64" s="278">
        <f>S34</f>
        <v>9.8981376931080958E-2</v>
      </c>
      <c r="F64" s="278">
        <f>S36</f>
        <v>0.18702015926031063</v>
      </c>
    </row>
    <row r="65" spans="1:6">
      <c r="A65" s="279" t="s">
        <v>360</v>
      </c>
      <c r="B65" s="278">
        <f>T28</f>
        <v>0.16886201550624544</v>
      </c>
      <c r="C65" s="278">
        <f>T30</f>
        <v>0.16318512530287635</v>
      </c>
      <c r="D65" s="278">
        <f>T32</f>
        <v>0.19217436923434739</v>
      </c>
      <c r="E65" s="278">
        <f>T34</f>
        <v>0.19506061227813076</v>
      </c>
      <c r="F65" s="278">
        <f>T36</f>
        <v>0.28071787767840012</v>
      </c>
    </row>
  </sheetData>
  <mergeCells count="51">
    <mergeCell ref="A46:B46"/>
    <mergeCell ref="A50:C50"/>
    <mergeCell ref="A23:V23"/>
    <mergeCell ref="A37:V37"/>
    <mergeCell ref="A3:M3"/>
    <mergeCell ref="A34:M34"/>
    <mergeCell ref="O34:R34"/>
    <mergeCell ref="A36:M36"/>
    <mergeCell ref="O36:R36"/>
    <mergeCell ref="A47:B47"/>
    <mergeCell ref="A48:B48"/>
    <mergeCell ref="A49:B49"/>
    <mergeCell ref="A40:D40"/>
    <mergeCell ref="A41:B41"/>
    <mergeCell ref="A43:B43"/>
    <mergeCell ref="A44:B44"/>
    <mergeCell ref="A45:B45"/>
    <mergeCell ref="A32:M32"/>
    <mergeCell ref="O32:R32"/>
    <mergeCell ref="A1:W2"/>
    <mergeCell ref="A42:B42"/>
    <mergeCell ref="A28:M28"/>
    <mergeCell ref="O28:R28"/>
    <mergeCell ref="A30:M30"/>
    <mergeCell ref="O30:R30"/>
    <mergeCell ref="A22:M22"/>
    <mergeCell ref="N22:R22"/>
    <mergeCell ref="O27:R27"/>
    <mergeCell ref="A20:M20"/>
    <mergeCell ref="N20:R20"/>
    <mergeCell ref="A21:M21"/>
    <mergeCell ref="N21:R21"/>
    <mergeCell ref="A12:M12"/>
    <mergeCell ref="O12:R12"/>
    <mergeCell ref="A14:M14"/>
    <mergeCell ref="O14:R14"/>
    <mergeCell ref="A25:W26"/>
    <mergeCell ref="A15:R15"/>
    <mergeCell ref="A16:M16"/>
    <mergeCell ref="O16:R16"/>
    <mergeCell ref="A18:M18"/>
    <mergeCell ref="O18:R18"/>
    <mergeCell ref="A8:M8"/>
    <mergeCell ref="O8:R8"/>
    <mergeCell ref="A10:M10"/>
    <mergeCell ref="O10:R10"/>
    <mergeCell ref="O3:R3"/>
    <mergeCell ref="A4:M4"/>
    <mergeCell ref="O4:R4"/>
    <mergeCell ref="A6:M6"/>
    <mergeCell ref="O6:R6"/>
  </mergeCells>
  <phoneticPr fontId="9" type="noConversion"/>
  <pageMargins left="0.78740157499999996" right="0.78740157499999996" top="0.984251969" bottom="0.984251969" header="0.49212598499999999" footer="0.49212598499999999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5</vt:i4>
      </vt:variant>
      <vt:variant>
        <vt:lpstr>Gráficos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10" baseType="lpstr">
      <vt:lpstr>PART-OCC-UNIR</vt:lpstr>
      <vt:lpstr>TAEj</vt:lpstr>
      <vt:lpstr>PART-OCC-NÚCLEOS-PVH</vt:lpstr>
      <vt:lpstr>QUADRO SÍNTESE</vt:lpstr>
      <vt:lpstr>Q. SÍNTESE COM FATOR DE COR.</vt:lpstr>
      <vt:lpstr>Gráf3</vt:lpstr>
      <vt:lpstr>Gráf4</vt:lpstr>
      <vt:lpstr>Gráf5</vt:lpstr>
      <vt:lpstr>Gráf6</vt:lpstr>
      <vt:lpstr>'QUADRO SÍNTESE'!Area_de_impressao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CID</cp:lastModifiedBy>
  <cp:lastPrinted>2013-10-31T22:38:20Z</cp:lastPrinted>
  <dcterms:created xsi:type="dcterms:W3CDTF">2013-09-05T18:49:16Z</dcterms:created>
  <dcterms:modified xsi:type="dcterms:W3CDTF">2013-10-31T23:35:47Z</dcterms:modified>
</cp:coreProperties>
</file>